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C:\Users\fmwm58\Downloads\"/>
    </mc:Choice>
  </mc:AlternateContent>
  <xr:revisionPtr revIDLastSave="0" documentId="13_ncr:1_{055524A2-CBC1-47B4-87BD-375B0F136B39}" xr6:coauthVersionLast="47" xr6:coauthVersionMax="47" xr10:uidLastSave="{00000000-0000-0000-0000-000000000000}"/>
  <bookViews>
    <workbookView xWindow="-120" yWindow="-120" windowWidth="29040" windowHeight="15720" tabRatio="920" xr2:uid="{EA8C8CA4-FA2A-4DA2-9365-390C14DDFB99}"/>
  </bookViews>
  <sheets>
    <sheet name="Syngas Compositions" sheetId="9" r:id="rId1"/>
    <sheet name="Gas Volume " sheetId="3" r:id="rId2"/>
    <sheet name="Dry Feed Rate Tests" sheetId="7" r:id="rId3"/>
    <sheet name="Land and Crop Yield" sheetId="14" r:id="rId4"/>
    <sheet name="Energy Input" sheetId="10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14" l="1"/>
  <c r="P6" i="14"/>
  <c r="P5" i="14"/>
  <c r="W39" i="7"/>
  <c r="W37" i="7"/>
  <c r="W38" i="7"/>
  <c r="W36" i="7"/>
  <c r="W40" i="10"/>
  <c r="W37" i="10"/>
  <c r="W43" i="10" s="1"/>
  <c r="W17" i="10"/>
  <c r="AA17" i="10" s="1"/>
  <c r="W27" i="10" s="1"/>
  <c r="X17" i="10"/>
  <c r="AB17" i="10" s="1"/>
  <c r="W18" i="10"/>
  <c r="X18" i="10"/>
  <c r="W19" i="10"/>
  <c r="X19" i="10"/>
  <c r="W20" i="10"/>
  <c r="X20" i="10"/>
  <c r="AA27" i="10" l="1"/>
  <c r="Y6" i="7" l="1"/>
  <c r="X5" i="7"/>
  <c r="Y5" i="7" s="1"/>
  <c r="Y4" i="7"/>
  <c r="X4" i="7"/>
  <c r="X3" i="7"/>
  <c r="Y3" i="7" s="1"/>
  <c r="X13" i="7" l="1"/>
  <c r="W13" i="7"/>
  <c r="W20" i="7" s="1"/>
  <c r="X14" i="7"/>
  <c r="W14" i="7"/>
  <c r="X15" i="7"/>
  <c r="W15" i="7"/>
  <c r="X16" i="7"/>
  <c r="W16" i="7"/>
  <c r="X20" i="7" l="1"/>
  <c r="L27" i="10"/>
  <c r="C47" i="10" l="1"/>
  <c r="M27" i="10"/>
  <c r="S60" i="10" l="1"/>
  <c r="C60" i="10"/>
  <c r="T22" i="7" l="1"/>
  <c r="T23" i="7"/>
  <c r="T24" i="7"/>
  <c r="T25" i="7"/>
  <c r="S23" i="7"/>
  <c r="S24" i="7"/>
  <c r="S25" i="7"/>
  <c r="S22" i="7"/>
  <c r="W40" i="7" l="1"/>
  <c r="C50" i="10" l="1"/>
  <c r="C49" i="10"/>
  <c r="S62" i="10" s="1"/>
  <c r="D50" i="10"/>
  <c r="T63" i="10" s="1"/>
  <c r="D49" i="10"/>
  <c r="D48" i="10"/>
  <c r="T61" i="10" s="1"/>
  <c r="C48" i="10"/>
  <c r="Y38" i="10"/>
  <c r="Y44" i="10" s="1"/>
  <c r="Y39" i="10"/>
  <c r="Y45" i="10" s="1"/>
  <c r="Y40" i="10"/>
  <c r="Y46" i="10" s="1"/>
  <c r="Y37" i="10"/>
  <c r="Y43" i="10" s="1"/>
  <c r="W38" i="10"/>
  <c r="W44" i="10" s="1"/>
  <c r="W39" i="10"/>
  <c r="W45" i="10" s="1"/>
  <c r="W46" i="10"/>
  <c r="D47" i="10" l="1"/>
  <c r="S63" i="10"/>
  <c r="D61" i="10"/>
  <c r="S61" i="10"/>
  <c r="C61" i="10"/>
  <c r="T62" i="10"/>
  <c r="D62" i="10"/>
  <c r="D63" i="10"/>
  <c r="M23" i="10"/>
  <c r="AB20" i="10"/>
  <c r="X30" i="10" s="1"/>
  <c r="AA18" i="10"/>
  <c r="AA28" i="10" s="1"/>
  <c r="AB18" i="10"/>
  <c r="X28" i="10" s="1"/>
  <c r="AA19" i="10"/>
  <c r="AB19" i="10"/>
  <c r="X29" i="10" s="1"/>
  <c r="AA20" i="10"/>
  <c r="AA30" i="10" s="1"/>
  <c r="AB27" i="10"/>
  <c r="R15" i="10"/>
  <c r="C62" i="10"/>
  <c r="X27" i="7"/>
  <c r="W23" i="7"/>
  <c r="X23" i="7"/>
  <c r="W21" i="7"/>
  <c r="W22" i="7"/>
  <c r="X21" i="7"/>
  <c r="X22" i="7"/>
  <c r="W27" i="7"/>
  <c r="P36" i="9"/>
  <c r="P35" i="9"/>
  <c r="L36" i="9"/>
  <c r="L35" i="9"/>
  <c r="P24" i="9"/>
  <c r="P23" i="9"/>
  <c r="H24" i="9"/>
  <c r="H23" i="9"/>
  <c r="D24" i="9"/>
  <c r="D23" i="9"/>
  <c r="O23" i="9"/>
  <c r="O24" i="9"/>
  <c r="K24" i="9"/>
  <c r="K23" i="9"/>
  <c r="W30" i="7" l="1"/>
  <c r="L29" i="10"/>
  <c r="H47" i="10"/>
  <c r="H50" i="10"/>
  <c r="H48" i="10"/>
  <c r="H49" i="10"/>
  <c r="F47" i="10"/>
  <c r="F48" i="10"/>
  <c r="F50" i="10"/>
  <c r="F49" i="10"/>
  <c r="E49" i="10"/>
  <c r="E47" i="10"/>
  <c r="E50" i="10"/>
  <c r="E48" i="10"/>
  <c r="M30" i="10"/>
  <c r="I50" i="10"/>
  <c r="I49" i="10"/>
  <c r="I48" i="10"/>
  <c r="I47" i="10"/>
  <c r="W29" i="7"/>
  <c r="W28" i="7"/>
  <c r="X30" i="7"/>
  <c r="D60" i="10"/>
  <c r="T60" i="10"/>
  <c r="R17" i="10"/>
  <c r="M29" i="10"/>
  <c r="G48" i="10"/>
  <c r="G49" i="10"/>
  <c r="G50" i="10"/>
  <c r="G47" i="10"/>
  <c r="X29" i="7"/>
  <c r="X28" i="7"/>
  <c r="AA29" i="10"/>
  <c r="W29" i="10"/>
  <c r="W28" i="10"/>
  <c r="C63" i="10"/>
  <c r="AB30" i="10"/>
  <c r="W30" i="10"/>
  <c r="AB29" i="10"/>
  <c r="X27" i="10"/>
  <c r="AB28" i="10"/>
  <c r="R19" i="10"/>
  <c r="L11" i="10"/>
  <c r="M11" i="10"/>
  <c r="I41" i="7"/>
  <c r="H41" i="7"/>
  <c r="G41" i="7"/>
  <c r="E41" i="7"/>
  <c r="D41" i="7"/>
  <c r="C41" i="7"/>
  <c r="J40" i="7"/>
  <c r="F40" i="7"/>
  <c r="J39" i="7"/>
  <c r="F39" i="7"/>
  <c r="J38" i="7"/>
  <c r="F38" i="7"/>
  <c r="J37" i="7"/>
  <c r="F37" i="7"/>
  <c r="J36" i="7"/>
  <c r="F36" i="7"/>
  <c r="I31" i="7"/>
  <c r="H31" i="7"/>
  <c r="G31" i="7"/>
  <c r="E31" i="7"/>
  <c r="D31" i="7"/>
  <c r="C31" i="7"/>
  <c r="J30" i="7"/>
  <c r="F30" i="7"/>
  <c r="J29" i="7"/>
  <c r="F29" i="7"/>
  <c r="J28" i="7"/>
  <c r="F28" i="7"/>
  <c r="J27" i="7"/>
  <c r="F27" i="7"/>
  <c r="J26" i="7"/>
  <c r="F26" i="7"/>
  <c r="I21" i="7"/>
  <c r="H21" i="7"/>
  <c r="G21" i="7"/>
  <c r="E21" i="7"/>
  <c r="D21" i="7"/>
  <c r="C21" i="7"/>
  <c r="J20" i="7"/>
  <c r="F20" i="7"/>
  <c r="J19" i="7"/>
  <c r="F19" i="7"/>
  <c r="J18" i="7"/>
  <c r="F18" i="7"/>
  <c r="J17" i="7"/>
  <c r="F17" i="7"/>
  <c r="J16" i="7"/>
  <c r="F16" i="7"/>
  <c r="G11" i="7"/>
  <c r="H11" i="7"/>
  <c r="I11" i="7"/>
  <c r="D11" i="7"/>
  <c r="E11" i="7"/>
  <c r="C11" i="7"/>
  <c r="J10" i="7"/>
  <c r="F10" i="7"/>
  <c r="J9" i="7"/>
  <c r="F9" i="7"/>
  <c r="J8" i="7"/>
  <c r="F8" i="7"/>
  <c r="J7" i="7"/>
  <c r="F7" i="7"/>
  <c r="J6" i="7"/>
  <c r="F6" i="7"/>
  <c r="J11" i="7" l="1"/>
  <c r="O12" i="7" s="1"/>
  <c r="P12" i="7" s="1"/>
  <c r="F11" i="7"/>
  <c r="O11" i="7" s="1"/>
  <c r="P11" i="7" s="1"/>
  <c r="W31" i="7"/>
  <c r="F21" i="7"/>
  <c r="O21" i="7" s="1"/>
  <c r="P21" i="7" s="1"/>
  <c r="X31" i="7"/>
  <c r="Y61" i="10"/>
  <c r="I61" i="10"/>
  <c r="Y62" i="10"/>
  <c r="I62" i="10"/>
  <c r="W61" i="10"/>
  <c r="G61" i="10"/>
  <c r="Y63" i="10"/>
  <c r="I63" i="10"/>
  <c r="W63" i="10"/>
  <c r="G63" i="10"/>
  <c r="X62" i="10"/>
  <c r="H62" i="10"/>
  <c r="W62" i="10"/>
  <c r="G62" i="10"/>
  <c r="X61" i="10"/>
  <c r="H61" i="10"/>
  <c r="X63" i="10"/>
  <c r="H63" i="10"/>
  <c r="H60" i="10"/>
  <c r="X60" i="10"/>
  <c r="L28" i="10"/>
  <c r="F62" i="10" s="1"/>
  <c r="M28" i="10"/>
  <c r="M31" i="10" s="1"/>
  <c r="M19" i="10"/>
  <c r="G60" i="10"/>
  <c r="W60" i="10"/>
  <c r="Y60" i="10"/>
  <c r="I60" i="10"/>
  <c r="L30" i="10"/>
  <c r="R18" i="10"/>
  <c r="J50" i="10"/>
  <c r="J47" i="10"/>
  <c r="J49" i="10"/>
  <c r="J48" i="10"/>
  <c r="J41" i="7"/>
  <c r="O42" i="7" s="1"/>
  <c r="P42" i="7" s="1"/>
  <c r="F41" i="7"/>
  <c r="O41" i="7" s="1"/>
  <c r="P41" i="7" s="1"/>
  <c r="F31" i="7"/>
  <c r="J31" i="7"/>
  <c r="O32" i="7" s="1"/>
  <c r="P32" i="7" s="1"/>
  <c r="J21" i="7"/>
  <c r="O22" i="7" s="1"/>
  <c r="P22" i="7" s="1"/>
  <c r="V60" i="10" l="1"/>
  <c r="F60" i="10"/>
  <c r="F63" i="10"/>
  <c r="L19" i="10"/>
  <c r="J61" i="10"/>
  <c r="Z61" i="10"/>
  <c r="E62" i="10"/>
  <c r="U63" i="10"/>
  <c r="V63" i="10"/>
  <c r="Z60" i="10"/>
  <c r="J60" i="10"/>
  <c r="Z62" i="10"/>
  <c r="J62" i="10"/>
  <c r="E61" i="10"/>
  <c r="U61" i="10"/>
  <c r="Z63" i="10"/>
  <c r="J63" i="10"/>
  <c r="E63" i="10"/>
  <c r="V62" i="10"/>
  <c r="U62" i="10"/>
  <c r="F61" i="10"/>
  <c r="L31" i="10"/>
  <c r="V61" i="10"/>
  <c r="U60" i="10"/>
  <c r="R16" i="10"/>
  <c r="R20" i="10" s="1"/>
  <c r="R11" i="10"/>
  <c r="R12" i="10" s="1"/>
  <c r="E60" i="10"/>
  <c r="O31" i="7"/>
  <c r="P31" i="7" s="1"/>
</calcChain>
</file>

<file path=xl/sharedStrings.xml><?xml version="1.0" encoding="utf-8"?>
<sst xmlns="http://schemas.openxmlformats.org/spreadsheetml/2006/main" count="550" uniqueCount="145">
  <si>
    <t>Max Value:</t>
  </si>
  <si>
    <t>750_10_Wheat</t>
  </si>
  <si>
    <t>750_5_Wheat</t>
  </si>
  <si>
    <t>750_10_Barley</t>
  </si>
  <si>
    <t>750_5_Barley</t>
  </si>
  <si>
    <t>750_10_OSR</t>
  </si>
  <si>
    <t>750_5_OSR</t>
  </si>
  <si>
    <t>750_10_Bean</t>
  </si>
  <si>
    <t>750_5_Beans</t>
  </si>
  <si>
    <t>CO(%)</t>
  </si>
  <si>
    <t>CO2(%)</t>
  </si>
  <si>
    <t>CH4(%)</t>
  </si>
  <si>
    <t>CnHm(%)</t>
  </si>
  <si>
    <t>H2(%)</t>
  </si>
  <si>
    <t>C2H4(%)</t>
  </si>
  <si>
    <t>N2(%)</t>
  </si>
  <si>
    <t>LHV(MJ/m3)</t>
  </si>
  <si>
    <t>H/C (H2:CO)</t>
  </si>
  <si>
    <t>H/C (H2:C's)</t>
  </si>
  <si>
    <t>800_10_Wheat</t>
  </si>
  <si>
    <t>800_5_Wheat</t>
  </si>
  <si>
    <t>800_10_Barley</t>
  </si>
  <si>
    <t>800_5_Barley</t>
  </si>
  <si>
    <t>800_10_OSR</t>
  </si>
  <si>
    <t>800_5_OSR</t>
  </si>
  <si>
    <t>800_10_Beans</t>
  </si>
  <si>
    <t>800_5_Beans</t>
  </si>
  <si>
    <t>850_10_Wheat</t>
  </si>
  <si>
    <t>850_5_Wheat</t>
  </si>
  <si>
    <t>850_10_Barley</t>
  </si>
  <si>
    <t>850_5_Barley</t>
  </si>
  <si>
    <t>850_10_OSR</t>
  </si>
  <si>
    <t>850_5_OSR</t>
  </si>
  <si>
    <t>850_10_Beans</t>
  </si>
  <si>
    <t>850_5_Beans</t>
  </si>
  <si>
    <t>900_10_Wheat</t>
  </si>
  <si>
    <t>900_5_Wheat</t>
  </si>
  <si>
    <t>900_10_Barley</t>
  </si>
  <si>
    <t>900_5_Barley</t>
  </si>
  <si>
    <t>900_10_OSR</t>
  </si>
  <si>
    <t>900_5_OSR</t>
  </si>
  <si>
    <t>900_10_Bean</t>
  </si>
  <si>
    <t>900_5_Beans</t>
  </si>
  <si>
    <t xml:space="preserve"> </t>
  </si>
  <si>
    <t>Volume / L (per 100g straw)</t>
  </si>
  <si>
    <t xml:space="preserve">Wheat </t>
  </si>
  <si>
    <t xml:space="preserve">Barley </t>
  </si>
  <si>
    <t>OSR</t>
  </si>
  <si>
    <t>Beans</t>
  </si>
  <si>
    <t>Grains</t>
  </si>
  <si>
    <t>Land</t>
  </si>
  <si>
    <t>Tonnes Straw</t>
  </si>
  <si>
    <t xml:space="preserve">kg Straw </t>
  </si>
  <si>
    <t>Wheat</t>
  </si>
  <si>
    <t>10 rpm</t>
  </si>
  <si>
    <t>5 rpm</t>
  </si>
  <si>
    <t>750/800t</t>
  </si>
  <si>
    <t>99 ha</t>
  </si>
  <si>
    <t>Mass</t>
  </si>
  <si>
    <t>Time Run 1</t>
  </si>
  <si>
    <t>Time Run 2</t>
  </si>
  <si>
    <t>Time Run 3</t>
  </si>
  <si>
    <t>Average</t>
  </si>
  <si>
    <t>Barley</t>
  </si>
  <si>
    <t>500t</t>
  </si>
  <si>
    <t>59 ha</t>
  </si>
  <si>
    <t>g</t>
  </si>
  <si>
    <t>s</t>
  </si>
  <si>
    <t>103t</t>
  </si>
  <si>
    <t>31 ha</t>
  </si>
  <si>
    <t xml:space="preserve">Bean </t>
  </si>
  <si>
    <t>42t</t>
  </si>
  <si>
    <t>13 ha</t>
  </si>
  <si>
    <t>n/a</t>
  </si>
  <si>
    <t xml:space="preserve"> (kg/s)</t>
  </si>
  <si>
    <t xml:space="preserve"> (kg/h)</t>
  </si>
  <si>
    <t>Average / s</t>
  </si>
  <si>
    <t>10 rpm Feed Rate</t>
  </si>
  <si>
    <t>Feed Rate (kg/s)</t>
  </si>
  <si>
    <t>Time / s</t>
  </si>
  <si>
    <t>5 rpm Feed Rate</t>
  </si>
  <si>
    <t>10rpm</t>
  </si>
  <si>
    <t>5rpm</t>
  </si>
  <si>
    <t xml:space="preserve">Beans </t>
  </si>
  <si>
    <t>Time / hr</t>
  </si>
  <si>
    <t>Feed Rate (kg/h)</t>
  </si>
  <si>
    <t>Time / years</t>
  </si>
  <si>
    <t>Sum</t>
  </si>
  <si>
    <t>Bean</t>
  </si>
  <si>
    <t>100kg/h - System</t>
  </si>
  <si>
    <t>Heater Energy Input (Process All straw)</t>
  </si>
  <si>
    <t xml:space="preserve">Motor Energy Input </t>
  </si>
  <si>
    <t>Our Case Heat Input Energy</t>
  </si>
  <si>
    <t>Feed Stock</t>
  </si>
  <si>
    <t>Calorific Values Straw</t>
  </si>
  <si>
    <t>HHV of biomass materials is typically 5 to 10% higher than LHV depending on the hydrogen content of the material.</t>
  </si>
  <si>
    <t xml:space="preserve">Power @ conditions </t>
  </si>
  <si>
    <t xml:space="preserve">Energy / kWyears </t>
  </si>
  <si>
    <t>LHV (MJ/kg)</t>
  </si>
  <si>
    <t>HHV (MJ/kg)</t>
  </si>
  <si>
    <t>Average Power kW: Feedstock</t>
  </si>
  <si>
    <t>Power Input / kWh</t>
  </si>
  <si>
    <t>Phyllis2 - ECN Phyllis classification</t>
  </si>
  <si>
    <t>The composition characteristics of different crop straw types and their multivariate analysis and comparison - ScienceDirect</t>
  </si>
  <si>
    <t>Average Power kW: Clear</t>
  </si>
  <si>
    <t>Agricultural residue production and potentials for energy and materials services - ScienceDirect</t>
  </si>
  <si>
    <t>Energy (all straw collected): 5rpm</t>
  </si>
  <si>
    <t>Sustainability | Free Full-Text | Investigation of Thermochemical Properties and Pyrolysis of Barley Waste as a Source for Renewable Energy (mdpi.com)</t>
  </si>
  <si>
    <t>Average Energy kWh: Feedstock</t>
  </si>
  <si>
    <t>Average Power kWh: Clear</t>
  </si>
  <si>
    <t>Total</t>
  </si>
  <si>
    <t>Energy (all straw collected): 10rpm</t>
  </si>
  <si>
    <t>Energy / kWh</t>
  </si>
  <si>
    <t xml:space="preserve">Feed Rate </t>
  </si>
  <si>
    <t>Energy Input / GJ</t>
  </si>
  <si>
    <t>Feed Rate (kg/hr)</t>
  </si>
  <si>
    <t>Average Energy GJ: Feedstock</t>
  </si>
  <si>
    <t>Average Power GJ: Clear</t>
  </si>
  <si>
    <t xml:space="preserve">Motor </t>
  </si>
  <si>
    <t>wheat straw yields were on average 4.0 tonnes per hectare</t>
  </si>
  <si>
    <t>Chapter 7: Crops - GOV.UK (www.gov.uk)</t>
  </si>
  <si>
    <t>Power / W</t>
  </si>
  <si>
    <t>winter barley 2.7 tonnes per hectare</t>
  </si>
  <si>
    <t>Industry Estimate 1.6t/ha</t>
  </si>
  <si>
    <t>Power (MJ/h)</t>
  </si>
  <si>
    <t>Energy Input: MJ/h</t>
  </si>
  <si>
    <t>harvest index for beans is usually about 50%. So equal quantity of straw to grain.</t>
  </si>
  <si>
    <t>Energy GJ</t>
  </si>
  <si>
    <t>From LCV</t>
  </si>
  <si>
    <t>From HCV</t>
  </si>
  <si>
    <t>Average Power MJ/h: Feedstock</t>
  </si>
  <si>
    <t>Average Power MJ/h: Clear</t>
  </si>
  <si>
    <t xml:space="preserve">Conditions Heater Energy Input </t>
  </si>
  <si>
    <t>Energy Input:</t>
  </si>
  <si>
    <t xml:space="preserve">kWh to pass 100% of straw type through @ given condition </t>
  </si>
  <si>
    <t>Units / kWh</t>
  </si>
  <si>
    <t>LHV (MJ)</t>
  </si>
  <si>
    <t>HHV (MJ)</t>
  </si>
  <si>
    <t>LHV (GJ)</t>
  </si>
  <si>
    <t>HHV (GJ)</t>
  </si>
  <si>
    <t>Units / GJ</t>
  </si>
  <si>
    <t>Total Energy Input (GJ): Feed, Heat, Motor</t>
  </si>
  <si>
    <t>Total Energy Input (GJ): Heat, Motor</t>
  </si>
  <si>
    <t>Defra</t>
  </si>
  <si>
    <t>Processors and Growers Research Organisation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</si>
</sst>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000000"/>
    <numFmt numFmtId="166" formatCode="0.000000"/>
    <numFmt numFmtId="167" formatCode="0.00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22222"/>
      <name val="Arial"/>
      <family val="2"/>
    </font>
    <font>
      <sz val="7"/>
      <color rgb="FF0B0C0C"/>
      <name val="Arial"/>
      <family val="2"/>
    </font>
    <font>
      <sz val="7"/>
      <name val="Arial"/>
      <family val="2"/>
    </font>
    <font>
      <sz val="6"/>
      <color rgb="FF242424"/>
      <name val="Arial"/>
      <family val="2"/>
    </font>
    <font>
      <sz val="7"/>
      <color rgb="FF222222"/>
      <name val="Arial"/>
      <family val="2"/>
    </font>
    <font>
      <b/>
      <u/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5" fillId="0" borderId="0" applyFont="0" applyFill="0" applyBorder="0" applyAlignment="0" applyProtection="0"/>
  </cellStyleXfs>
  <cellXfs count="1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3" fillId="0" borderId="11" xfId="0" applyFont="1" applyBorder="1"/>
    <xf numFmtId="0" fontId="3" fillId="0" borderId="13" xfId="0" applyFont="1" applyBorder="1"/>
    <xf numFmtId="0" fontId="3" fillId="0" borderId="0" xfId="0" applyFont="1"/>
    <xf numFmtId="0" fontId="5" fillId="0" borderId="0" xfId="1"/>
    <xf numFmtId="0" fontId="3" fillId="0" borderId="19" xfId="0" applyFont="1" applyBorder="1"/>
    <xf numFmtId="0" fontId="7" fillId="0" borderId="22" xfId="0" applyFont="1" applyBorder="1"/>
    <xf numFmtId="0" fontId="7" fillId="0" borderId="23" xfId="0" applyFont="1" applyBorder="1"/>
    <xf numFmtId="0" fontId="6" fillId="0" borderId="24" xfId="0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/>
    <xf numFmtId="0" fontId="6" fillId="0" borderId="30" xfId="0" applyFon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7" fillId="0" borderId="36" xfId="0" applyFont="1" applyBorder="1"/>
    <xf numFmtId="0" fontId="7" fillId="0" borderId="37" xfId="0" applyFont="1" applyBorder="1"/>
    <xf numFmtId="0" fontId="6" fillId="0" borderId="38" xfId="0" applyFont="1" applyBorder="1"/>
    <xf numFmtId="0" fontId="6" fillId="0" borderId="39" xfId="0" applyFont="1" applyBorder="1"/>
    <xf numFmtId="0" fontId="8" fillId="0" borderId="35" xfId="0" applyFont="1" applyBorder="1"/>
    <xf numFmtId="0" fontId="7" fillId="0" borderId="0" xfId="0" applyFont="1"/>
    <xf numFmtId="166" fontId="0" fillId="0" borderId="15" xfId="0" applyNumberFormat="1" applyBorder="1"/>
    <xf numFmtId="166" fontId="0" fillId="0" borderId="1" xfId="0" applyNumberFormat="1" applyBorder="1"/>
    <xf numFmtId="166" fontId="0" fillId="0" borderId="3" xfId="0" applyNumberFormat="1" applyBorder="1"/>
    <xf numFmtId="166" fontId="0" fillId="0" borderId="14" xfId="0" applyNumberFormat="1" applyBorder="1"/>
    <xf numFmtId="0" fontId="0" fillId="0" borderId="40" xfId="0" applyBorder="1"/>
    <xf numFmtId="0" fontId="0" fillId="0" borderId="41" xfId="0" applyBorder="1"/>
    <xf numFmtId="0" fontId="0" fillId="0" borderId="43" xfId="0" applyBorder="1"/>
    <xf numFmtId="0" fontId="0" fillId="0" borderId="42" xfId="0" applyBorder="1"/>
    <xf numFmtId="0" fontId="0" fillId="0" borderId="19" xfId="0" applyBorder="1"/>
    <xf numFmtId="2" fontId="0" fillId="0" borderId="3" xfId="0" applyNumberFormat="1" applyBorder="1"/>
    <xf numFmtId="0" fontId="0" fillId="0" borderId="48" xfId="0" applyBorder="1"/>
    <xf numFmtId="2" fontId="0" fillId="0" borderId="18" xfId="0" applyNumberFormat="1" applyBorder="1"/>
    <xf numFmtId="2" fontId="0" fillId="0" borderId="42" xfId="0" applyNumberFormat="1" applyBorder="1"/>
    <xf numFmtId="0" fontId="0" fillId="0" borderId="49" xfId="0" applyBorder="1"/>
    <xf numFmtId="0" fontId="3" fillId="0" borderId="1" xfId="0" applyFont="1" applyBorder="1"/>
    <xf numFmtId="0" fontId="3" fillId="0" borderId="3" xfId="0" applyFont="1" applyBorder="1"/>
    <xf numFmtId="0" fontId="0" fillId="0" borderId="51" xfId="0" applyBorder="1"/>
    <xf numFmtId="0" fontId="0" fillId="0" borderId="52" xfId="0" applyBorder="1"/>
    <xf numFmtId="0" fontId="0" fillId="0" borderId="50" xfId="0" applyBorder="1"/>
    <xf numFmtId="0" fontId="0" fillId="0" borderId="53" xfId="0" applyBorder="1"/>
    <xf numFmtId="3" fontId="0" fillId="0" borderId="14" xfId="0" applyNumberFormat="1" applyBorder="1"/>
    <xf numFmtId="0" fontId="3" fillId="0" borderId="40" xfId="0" applyFont="1" applyBorder="1"/>
    <xf numFmtId="2" fontId="0" fillId="0" borderId="0" xfId="0" applyNumberFormat="1"/>
    <xf numFmtId="0" fontId="0" fillId="4" borderId="5" xfId="0" applyFill="1" applyBorder="1"/>
    <xf numFmtId="0" fontId="0" fillId="4" borderId="8" xfId="0" applyFill="1" applyBorder="1"/>
    <xf numFmtId="0" fontId="1" fillId="4" borderId="8" xfId="0" applyFont="1" applyFill="1" applyBorder="1"/>
    <xf numFmtId="0" fontId="0" fillId="2" borderId="49" xfId="0" applyFill="1" applyBorder="1"/>
    <xf numFmtId="166" fontId="0" fillId="0" borderId="0" xfId="0" applyNumberFormat="1"/>
    <xf numFmtId="167" fontId="0" fillId="0" borderId="3" xfId="0" applyNumberFormat="1" applyBorder="1"/>
    <xf numFmtId="165" fontId="0" fillId="0" borderId="10" xfId="0" applyNumberFormat="1" applyBorder="1"/>
    <xf numFmtId="0" fontId="3" fillId="0" borderId="10" xfId="0" applyFont="1" applyBorder="1"/>
    <xf numFmtId="0" fontId="0" fillId="0" borderId="60" xfId="0" applyBorder="1"/>
    <xf numFmtId="2" fontId="0" fillId="0" borderId="14" xfId="0" applyNumberFormat="1" applyBorder="1"/>
    <xf numFmtId="0" fontId="2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3" xfId="0" applyBorder="1" applyAlignment="1">
      <alignment horizontal="center"/>
    </xf>
    <xf numFmtId="0" fontId="3" fillId="0" borderId="56" xfId="0" applyFont="1" applyBorder="1" applyAlignment="1">
      <alignment horizontal="center"/>
    </xf>
    <xf numFmtId="166" fontId="0" fillId="0" borderId="58" xfId="0" applyNumberFormat="1" applyBorder="1" applyAlignment="1">
      <alignment horizontal="center"/>
    </xf>
    <xf numFmtId="166" fontId="0" fillId="0" borderId="59" xfId="0" applyNumberFormat="1" applyBorder="1" applyAlignment="1">
      <alignment horizontal="center"/>
    </xf>
    <xf numFmtId="166" fontId="0" fillId="0" borderId="54" xfId="0" applyNumberFormat="1" applyBorder="1" applyAlignment="1">
      <alignment horizontal="center"/>
    </xf>
    <xf numFmtId="166" fontId="0" fillId="0" borderId="55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57" xfId="0" applyNumberFormat="1" applyBorder="1" applyAlignment="1">
      <alignment horizontal="center"/>
    </xf>
    <xf numFmtId="166" fontId="0" fillId="0" borderId="42" xfId="0" applyNumberFormat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164" fontId="14" fillId="2" borderId="0" xfId="2" applyFont="1" applyFill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40" xfId="0" applyFont="1" applyFill="1" applyBorder="1" applyAlignment="1">
      <alignment horizontal="center"/>
    </xf>
    <xf numFmtId="0" fontId="5" fillId="0" borderId="52" xfId="1" applyBorder="1" applyAlignment="1">
      <alignment horizontal="center"/>
    </xf>
    <xf numFmtId="0" fontId="5" fillId="0" borderId="0" xfId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16" fillId="0" borderId="0" xfId="0" applyFont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9" fillId="0" borderId="10" xfId="0" applyFont="1" applyBorder="1" applyAlignment="1">
      <alignment horizontal="left" vertical="center" indent="3"/>
    </xf>
    <xf numFmtId="0" fontId="10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LHV: 900⁰C @ 10rpm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Wheat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Compositions'!$C$46</c:f>
              <c:numCache>
                <c:formatCode>General</c:formatCode>
                <c:ptCount val="1"/>
                <c:pt idx="0">
                  <c:v>14.895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E-46C6-A987-7D558C050F9B}"/>
            </c:ext>
          </c:extLst>
        </c:ser>
        <c:ser>
          <c:idx val="1"/>
          <c:order val="1"/>
          <c:tx>
            <c:v>Barley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Compositions'!$G$46</c:f>
              <c:numCache>
                <c:formatCode>General</c:formatCode>
                <c:ptCount val="1"/>
                <c:pt idx="0">
                  <c:v>15.059999999999999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AE-46C6-A987-7D558C050F9B}"/>
            </c:ext>
          </c:extLst>
        </c:ser>
        <c:ser>
          <c:idx val="2"/>
          <c:order val="2"/>
          <c:tx>
            <c:v>OSR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Compositions'!$K$46</c:f>
              <c:numCache>
                <c:formatCode>General</c:formatCode>
                <c:ptCount val="1"/>
                <c:pt idx="0">
                  <c:v>15.34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AE-46C6-A987-7D558C050F9B}"/>
            </c:ext>
          </c:extLst>
        </c:ser>
        <c:ser>
          <c:idx val="3"/>
          <c:order val="3"/>
          <c:tx>
            <c:v>Bean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Compositions'!$O$46</c:f>
              <c:numCache>
                <c:formatCode>General</c:formatCode>
                <c:ptCount val="1"/>
                <c:pt idx="0">
                  <c:v>14.805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AE-46C6-A987-7D558C050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4503871"/>
        <c:axId val="890199375"/>
      </c:barChart>
      <c:catAx>
        <c:axId val="1194503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199375"/>
        <c:crosses val="autoZero"/>
        <c:auto val="1"/>
        <c:lblAlgn val="ctr"/>
        <c:lblOffset val="100"/>
        <c:noMultiLvlLbl val="0"/>
      </c:catAx>
      <c:valAx>
        <c:axId val="890199375"/>
        <c:scaling>
          <c:orientation val="minMax"/>
          <c:max val="17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LHV</a:t>
                </a:r>
                <a:r>
                  <a:rPr lang="en-GB" baseline="0"/>
                  <a:t> (MJ/m</a:t>
                </a:r>
                <a:r>
                  <a:rPr lang="en-GB" baseline="30000"/>
                  <a:t>3</a:t>
                </a:r>
                <a:r>
                  <a:rPr lang="en-GB" baseline="0"/>
                  <a:t>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4503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LHV: 850⁰C @ 10rpm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Wheat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Compositions'!$C$34</c:f>
              <c:numCache>
                <c:formatCode>General</c:formatCode>
                <c:ptCount val="1"/>
                <c:pt idx="0">
                  <c:v>15.62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6-479D-987D-6568191A6283}"/>
            </c:ext>
          </c:extLst>
        </c:ser>
        <c:ser>
          <c:idx val="1"/>
          <c:order val="1"/>
          <c:tx>
            <c:v>Barley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Compositions'!$G$34</c:f>
              <c:numCache>
                <c:formatCode>General</c:formatCode>
                <c:ptCount val="1"/>
                <c:pt idx="0">
                  <c:v>15.379999999999999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6-479D-987D-6568191A6283}"/>
            </c:ext>
          </c:extLst>
        </c:ser>
        <c:ser>
          <c:idx val="2"/>
          <c:order val="2"/>
          <c:tx>
            <c:v>OSR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Compositions'!$K$34</c:f>
              <c:numCache>
                <c:formatCode>General</c:formatCode>
                <c:ptCount val="1"/>
                <c:pt idx="0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E6-479D-987D-6568191A6283}"/>
            </c:ext>
          </c:extLst>
        </c:ser>
        <c:ser>
          <c:idx val="3"/>
          <c:order val="3"/>
          <c:tx>
            <c:v>Bean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Compositions'!$O$34</c:f>
              <c:numCache>
                <c:formatCode>General</c:formatCode>
                <c:ptCount val="1"/>
                <c:pt idx="0">
                  <c:v>15.28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E6-479D-987D-6568191A6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4503871"/>
        <c:axId val="890199375"/>
      </c:barChart>
      <c:catAx>
        <c:axId val="1194503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199375"/>
        <c:crosses val="autoZero"/>
        <c:auto val="1"/>
        <c:lblAlgn val="ctr"/>
        <c:lblOffset val="100"/>
        <c:noMultiLvlLbl val="0"/>
      </c:catAx>
      <c:valAx>
        <c:axId val="890199375"/>
        <c:scaling>
          <c:orientation val="minMax"/>
          <c:max val="17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LHV (MJ/m</a:t>
                </a:r>
                <a:r>
                  <a:rPr lang="en-GB" sz="1000" b="0" i="0" u="none" strike="noStrike" kern="1200" baseline="3000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3</a:t>
                </a: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4503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LHV: 800⁰C @ 10rpm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Wheat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Compositions'!$C$22</c:f>
              <c:numCache>
                <c:formatCode>General</c:formatCode>
                <c:ptCount val="1"/>
                <c:pt idx="0">
                  <c:v>16.170000000000002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4-4230-ADE5-C3AD8F835351}"/>
            </c:ext>
          </c:extLst>
        </c:ser>
        <c:ser>
          <c:idx val="1"/>
          <c:order val="1"/>
          <c:tx>
            <c:v>Barley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Compositions'!$G$22</c:f>
              <c:numCache>
                <c:formatCode>General</c:formatCode>
                <c:ptCount val="1"/>
                <c:pt idx="0">
                  <c:v>15.76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24-4230-ADE5-C3AD8F835351}"/>
            </c:ext>
          </c:extLst>
        </c:ser>
        <c:ser>
          <c:idx val="2"/>
          <c:order val="2"/>
          <c:tx>
            <c:v>OSR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Compositions'!$K$22</c:f>
              <c:numCache>
                <c:formatCode>General</c:formatCode>
                <c:ptCount val="1"/>
                <c:pt idx="0">
                  <c:v>16.059999999999999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24-4230-ADE5-C3AD8F835351}"/>
            </c:ext>
          </c:extLst>
        </c:ser>
        <c:ser>
          <c:idx val="3"/>
          <c:order val="3"/>
          <c:tx>
            <c:v>Bean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Compositions'!$O$22</c:f>
              <c:numCache>
                <c:formatCode>General</c:formatCode>
                <c:ptCount val="1"/>
                <c:pt idx="0">
                  <c:v>15.63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24-4230-ADE5-C3AD8F835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4503871"/>
        <c:axId val="890199375"/>
      </c:barChart>
      <c:catAx>
        <c:axId val="1194503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199375"/>
        <c:crosses val="autoZero"/>
        <c:auto val="1"/>
        <c:lblAlgn val="ctr"/>
        <c:lblOffset val="100"/>
        <c:noMultiLvlLbl val="0"/>
      </c:catAx>
      <c:valAx>
        <c:axId val="890199375"/>
        <c:scaling>
          <c:orientation val="minMax"/>
          <c:max val="17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LHV (MJ/m</a:t>
                </a:r>
                <a:r>
                  <a:rPr lang="en-GB" sz="1000" b="0" i="0" u="none" strike="noStrike" kern="1200" baseline="3000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3</a:t>
                </a: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4503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LHV: 750⁰C @ 10rpm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Wheat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Compositions'!$C$10</c:f>
              <c:numCache>
                <c:formatCode>General</c:formatCode>
                <c:ptCount val="1"/>
                <c:pt idx="0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C-4F79-84D7-7BCD78038C78}"/>
            </c:ext>
          </c:extLst>
        </c:ser>
        <c:ser>
          <c:idx val="1"/>
          <c:order val="1"/>
          <c:tx>
            <c:v>Barley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Compositions'!$G$10</c:f>
              <c:numCache>
                <c:formatCode>General</c:formatCode>
                <c:ptCount val="1"/>
                <c:pt idx="0">
                  <c:v>15.81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AC-4F79-84D7-7BCD78038C78}"/>
            </c:ext>
          </c:extLst>
        </c:ser>
        <c:ser>
          <c:idx val="2"/>
          <c:order val="2"/>
          <c:tx>
            <c:v>OSR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Compositions'!$K$10</c:f>
              <c:numCache>
                <c:formatCode>General</c:formatCode>
                <c:ptCount val="1"/>
                <c:pt idx="0">
                  <c:v>16.11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AC-4F79-84D7-7BCD78038C78}"/>
            </c:ext>
          </c:extLst>
        </c:ser>
        <c:ser>
          <c:idx val="3"/>
          <c:order val="3"/>
          <c:tx>
            <c:v>Bean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Compositions'!$O$10</c:f>
              <c:numCache>
                <c:formatCode>General</c:formatCode>
                <c:ptCount val="1"/>
                <c:pt idx="0">
                  <c:v>14.92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AC-4F79-84D7-7BCD78038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4503871"/>
        <c:axId val="890199375"/>
      </c:barChart>
      <c:catAx>
        <c:axId val="1194503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199375"/>
        <c:crosses val="autoZero"/>
        <c:auto val="1"/>
        <c:lblAlgn val="ctr"/>
        <c:lblOffset val="100"/>
        <c:noMultiLvlLbl val="0"/>
      </c:catAx>
      <c:valAx>
        <c:axId val="890199375"/>
        <c:scaling>
          <c:orientation val="minMax"/>
          <c:max val="17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LHV (MJ/m</a:t>
                </a:r>
                <a:r>
                  <a:rPr lang="en-GB" sz="1000" b="0" i="0" u="none" strike="noStrike" kern="1200" baseline="3000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3</a:t>
                </a: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4503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LHV: 900⁰C @ 5rpm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Wheat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Compositions'!$D$46</c:f>
              <c:numCache>
                <c:formatCode>General</c:formatCode>
                <c:ptCount val="1"/>
                <c:pt idx="0">
                  <c:v>14.824999999999999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19-4F72-BBFA-A4FFD3A90280}"/>
            </c:ext>
          </c:extLst>
        </c:ser>
        <c:ser>
          <c:idx val="1"/>
          <c:order val="1"/>
          <c:tx>
            <c:v>Barley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Compositions'!$H$46</c:f>
              <c:numCache>
                <c:formatCode>General</c:formatCode>
                <c:ptCount val="1"/>
                <c:pt idx="0">
                  <c:v>14.685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19-4F72-BBFA-A4FFD3A90280}"/>
            </c:ext>
          </c:extLst>
        </c:ser>
        <c:ser>
          <c:idx val="2"/>
          <c:order val="2"/>
          <c:tx>
            <c:v>OSR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Compositions'!$L$46</c:f>
              <c:numCache>
                <c:formatCode>General</c:formatCode>
                <c:ptCount val="1"/>
                <c:pt idx="0">
                  <c:v>15.15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19-4F72-BBFA-A4FFD3A90280}"/>
            </c:ext>
          </c:extLst>
        </c:ser>
        <c:ser>
          <c:idx val="3"/>
          <c:order val="3"/>
          <c:tx>
            <c:v>Bean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Compositions'!$P$46</c:f>
              <c:numCache>
                <c:formatCode>General</c:formatCode>
                <c:ptCount val="1"/>
                <c:pt idx="0">
                  <c:v>14.38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19-4F72-BBFA-A4FFD3A90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4503871"/>
        <c:axId val="890199375"/>
      </c:barChart>
      <c:catAx>
        <c:axId val="1194503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199375"/>
        <c:crosses val="autoZero"/>
        <c:auto val="1"/>
        <c:lblAlgn val="ctr"/>
        <c:lblOffset val="100"/>
        <c:noMultiLvlLbl val="0"/>
      </c:catAx>
      <c:valAx>
        <c:axId val="890199375"/>
        <c:scaling>
          <c:orientation val="minMax"/>
          <c:max val="17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LHV (MJ/m</a:t>
                </a:r>
                <a:r>
                  <a:rPr lang="en-GB" sz="1000" b="0" i="0" u="none" strike="noStrike" kern="1200" baseline="3000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3</a:t>
                </a: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4503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LHV: 850⁰C @ 5rpm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Wheat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Compositions'!$D$34</c:f>
              <c:numCache>
                <c:formatCode>General</c:formatCode>
                <c:ptCount val="1"/>
                <c:pt idx="0">
                  <c:v>15.379999999999999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4-43AF-83DF-BADE6F9F8512}"/>
            </c:ext>
          </c:extLst>
        </c:ser>
        <c:ser>
          <c:idx val="1"/>
          <c:order val="1"/>
          <c:tx>
            <c:v>Barley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Compositions'!$H$34</c:f>
              <c:numCache>
                <c:formatCode>General</c:formatCode>
                <c:ptCount val="1"/>
                <c:pt idx="0">
                  <c:v>15.445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04-43AF-83DF-BADE6F9F8512}"/>
            </c:ext>
          </c:extLst>
        </c:ser>
        <c:ser>
          <c:idx val="2"/>
          <c:order val="2"/>
          <c:tx>
            <c:v>OSR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Compositions'!$L$34</c:f>
              <c:numCache>
                <c:formatCode>General</c:formatCode>
                <c:ptCount val="1"/>
                <c:pt idx="0">
                  <c:v>15.68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04-43AF-83DF-BADE6F9F8512}"/>
            </c:ext>
          </c:extLst>
        </c:ser>
        <c:ser>
          <c:idx val="3"/>
          <c:order val="3"/>
          <c:tx>
            <c:v>Bean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Compositions'!$P$34</c:f>
              <c:numCache>
                <c:formatCode>General</c:formatCode>
                <c:ptCount val="1"/>
                <c:pt idx="0">
                  <c:v>14.82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04-43AF-83DF-BADE6F9F8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4503871"/>
        <c:axId val="890199375"/>
      </c:barChart>
      <c:catAx>
        <c:axId val="1194503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199375"/>
        <c:crosses val="autoZero"/>
        <c:auto val="1"/>
        <c:lblAlgn val="ctr"/>
        <c:lblOffset val="100"/>
        <c:noMultiLvlLbl val="0"/>
      </c:catAx>
      <c:valAx>
        <c:axId val="890199375"/>
        <c:scaling>
          <c:orientation val="minMax"/>
          <c:max val="17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LHV (MJ/m</a:t>
                </a:r>
                <a:r>
                  <a:rPr lang="en-GB" sz="1000" b="0" i="0" u="none" strike="noStrike" kern="1200" baseline="3000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3</a:t>
                </a: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4503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LHV: 800⁰C @ 5rpm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Wheat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Compositions'!$D$22</c:f>
              <c:numCache>
                <c:formatCode>General</c:formatCode>
                <c:ptCount val="1"/>
                <c:pt idx="0">
                  <c:v>16.37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A6-4459-B2AE-5607562D92BF}"/>
            </c:ext>
          </c:extLst>
        </c:ser>
        <c:ser>
          <c:idx val="1"/>
          <c:order val="1"/>
          <c:tx>
            <c:v>Barley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Compositions'!$H$22</c:f>
              <c:numCache>
                <c:formatCode>General</c:formatCode>
                <c:ptCount val="1"/>
                <c:pt idx="0">
                  <c:v>16.05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A6-4459-B2AE-5607562D92BF}"/>
            </c:ext>
          </c:extLst>
        </c:ser>
        <c:ser>
          <c:idx val="2"/>
          <c:order val="2"/>
          <c:tx>
            <c:v>OSR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Compositions'!$L$22</c:f>
              <c:numCache>
                <c:formatCode>General</c:formatCode>
                <c:ptCount val="1"/>
                <c:pt idx="0">
                  <c:v>15.51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A6-4459-B2AE-5607562D92BF}"/>
            </c:ext>
          </c:extLst>
        </c:ser>
        <c:ser>
          <c:idx val="3"/>
          <c:order val="3"/>
          <c:tx>
            <c:v>Bean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Compositions'!$P$22</c:f>
              <c:numCache>
                <c:formatCode>General</c:formatCode>
                <c:ptCount val="1"/>
                <c:pt idx="0">
                  <c:v>15.62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A6-4459-B2AE-5607562D9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4503871"/>
        <c:axId val="890199375"/>
      </c:barChart>
      <c:catAx>
        <c:axId val="1194503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199375"/>
        <c:crosses val="autoZero"/>
        <c:auto val="1"/>
        <c:lblAlgn val="ctr"/>
        <c:lblOffset val="100"/>
        <c:noMultiLvlLbl val="0"/>
      </c:catAx>
      <c:valAx>
        <c:axId val="890199375"/>
        <c:scaling>
          <c:orientation val="minMax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LHV (MJ/m</a:t>
                </a:r>
                <a:r>
                  <a:rPr lang="en-GB" sz="1000" b="0" i="0" u="none" strike="noStrike" kern="1200" baseline="3000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3</a:t>
                </a: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4503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LHV: 750⁰C @ 5rpm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Wheat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Compositions'!$D$10</c:f>
              <c:numCache>
                <c:formatCode>General</c:formatCode>
                <c:ptCount val="1"/>
                <c:pt idx="0">
                  <c:v>16.670000000000002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C-4BBC-A9F7-FD373A76C4AA}"/>
            </c:ext>
          </c:extLst>
        </c:ser>
        <c:ser>
          <c:idx val="1"/>
          <c:order val="1"/>
          <c:tx>
            <c:v>Barley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Compositions'!$H$10</c:f>
              <c:numCache>
                <c:formatCode>General</c:formatCode>
                <c:ptCount val="1"/>
                <c:pt idx="0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C-4BBC-A9F7-FD373A76C4AA}"/>
            </c:ext>
          </c:extLst>
        </c:ser>
        <c:ser>
          <c:idx val="2"/>
          <c:order val="2"/>
          <c:tx>
            <c:v>OSR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Compositions'!$L$10</c:f>
              <c:numCache>
                <c:formatCode>General</c:formatCode>
                <c:ptCount val="1"/>
                <c:pt idx="0">
                  <c:v>15.61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AC-4BBC-A9F7-FD373A76C4AA}"/>
            </c:ext>
          </c:extLst>
        </c:ser>
        <c:ser>
          <c:idx val="3"/>
          <c:order val="3"/>
          <c:tx>
            <c:v>Bean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Straw</c:v>
              </c:pt>
            </c:strLit>
          </c:cat>
          <c:val>
            <c:numRef>
              <c:f>'Syngas Compositions'!$P$10</c:f>
              <c:numCache>
                <c:formatCode>General</c:formatCode>
                <c:ptCount val="1"/>
                <c:pt idx="0">
                  <c:v>15.125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AC-4BBC-A9F7-FD373A76C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4503871"/>
        <c:axId val="890199375"/>
      </c:barChart>
      <c:catAx>
        <c:axId val="1194503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199375"/>
        <c:crosses val="autoZero"/>
        <c:auto val="1"/>
        <c:lblAlgn val="ctr"/>
        <c:lblOffset val="100"/>
        <c:noMultiLvlLbl val="0"/>
      </c:catAx>
      <c:valAx>
        <c:axId val="890199375"/>
        <c:scaling>
          <c:orientation val="minMax"/>
          <c:max val="1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LHV (MJ/m</a:t>
                </a:r>
                <a:r>
                  <a:rPr lang="en-GB" sz="1000" b="0" i="0" u="none" strike="noStrike" kern="1200" baseline="3000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3</a:t>
                </a:r>
                <a:r>
                  <a:rPr lang="en-GB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4503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37</xdr:row>
      <xdr:rowOff>0</xdr:rowOff>
    </xdr:from>
    <xdr:to>
      <xdr:col>36</xdr:col>
      <xdr:colOff>496890</xdr:colOff>
      <xdr:row>48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715C42A-9CE3-42D2-9D32-CCCA178F1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0</xdr:colOff>
      <xdr:row>25</xdr:row>
      <xdr:rowOff>-1</xdr:rowOff>
    </xdr:from>
    <xdr:to>
      <xdr:col>36</xdr:col>
      <xdr:colOff>496890</xdr:colOff>
      <xdr:row>36</xdr:row>
      <xdr:rowOff>47624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4E5778F-BBE5-457D-BD63-286C3C65E3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0</xdr:colOff>
      <xdr:row>13</xdr:row>
      <xdr:rowOff>0</xdr:rowOff>
    </xdr:from>
    <xdr:to>
      <xdr:col>36</xdr:col>
      <xdr:colOff>476249</xdr:colOff>
      <xdr:row>23</xdr:row>
      <xdr:rowOff>161924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6BBC26D-F891-4ADB-B4D0-FD17D70ED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1</xdr:row>
      <xdr:rowOff>0</xdr:rowOff>
    </xdr:from>
    <xdr:to>
      <xdr:col>36</xdr:col>
      <xdr:colOff>496888</xdr:colOff>
      <xdr:row>12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5071FC2-2A69-4D0F-BC08-C25A5B41BD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0</xdr:colOff>
      <xdr:row>37</xdr:row>
      <xdr:rowOff>0</xdr:rowOff>
    </xdr:from>
    <xdr:to>
      <xdr:col>40</xdr:col>
      <xdr:colOff>496890</xdr:colOff>
      <xdr:row>48</xdr:row>
      <xdr:rowOff>2380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2C098184-55E6-4914-972D-7BBB6AFDE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37</xdr:col>
      <xdr:colOff>0</xdr:colOff>
      <xdr:row>25</xdr:row>
      <xdr:rowOff>0</xdr:rowOff>
    </xdr:from>
    <xdr:to>
      <xdr:col>40</xdr:col>
      <xdr:colOff>496890</xdr:colOff>
      <xdr:row>36</xdr:row>
      <xdr:rowOff>2380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B248543E-6B78-4F23-B8DB-35933B98C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37</xdr:col>
      <xdr:colOff>14288</xdr:colOff>
      <xdr:row>13</xdr:row>
      <xdr:rowOff>17860</xdr:rowOff>
    </xdr:from>
    <xdr:to>
      <xdr:col>40</xdr:col>
      <xdr:colOff>511178</xdr:colOff>
      <xdr:row>24</xdr:row>
      <xdr:rowOff>20240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549B589A-A7E9-46EE-9FD9-A6CD4654A1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37</xdr:col>
      <xdr:colOff>0</xdr:colOff>
      <xdr:row>1</xdr:row>
      <xdr:rowOff>0</xdr:rowOff>
    </xdr:from>
    <xdr:to>
      <xdr:col>40</xdr:col>
      <xdr:colOff>496888</xdr:colOff>
      <xdr:row>12</xdr:row>
      <xdr:rowOff>1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47EADD05-499A-45E2-B938-27A947CF1E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v.uk/government/statistics/agriculture-in-the-united-kingdom-2021/chapter-7-crops" TargetMode="External"/><Relationship Id="rId1" Type="http://schemas.openxmlformats.org/officeDocument/2006/relationships/hyperlink" Target="https://www.gov.uk/government/statistics/agriculture-in-the-united-kingdom-2021/chapter-7-crops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ciencedirect.com/science/article/pii/S0360128513000415" TargetMode="External"/><Relationship Id="rId2" Type="http://schemas.openxmlformats.org/officeDocument/2006/relationships/hyperlink" Target="https://www.sciencedirect.com/science/article/pii/S0956053X20302543" TargetMode="External"/><Relationship Id="rId1" Type="http://schemas.openxmlformats.org/officeDocument/2006/relationships/hyperlink" Target="https://phyllis.nl/Browse/Standard/ECN-Phyllis" TargetMode="External"/><Relationship Id="rId5" Type="http://schemas.openxmlformats.org/officeDocument/2006/relationships/hyperlink" Target="https://www.mdpi.com/2071-1050/15/2/1643" TargetMode="External"/><Relationship Id="rId4" Type="http://schemas.openxmlformats.org/officeDocument/2006/relationships/hyperlink" Target="https://www.sciencedirect.com/science/article/pii/S0956053X203025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3C7C9-1711-4351-94B9-6B59364E1B4A}">
  <dimension ref="B2:AC53"/>
  <sheetViews>
    <sheetView tabSelected="1" zoomScale="85" zoomScaleNormal="85" workbookViewId="0">
      <selection activeCell="R18" sqref="R18"/>
    </sheetView>
  </sheetViews>
  <sheetFormatPr defaultRowHeight="15" x14ac:dyDescent="0.25"/>
  <cols>
    <col min="2" max="2" width="11.5703125" bestFit="1" customWidth="1"/>
    <col min="3" max="3" width="14.28515625" bestFit="1" customWidth="1"/>
    <col min="4" max="4" width="13.28515625" bestFit="1" customWidth="1"/>
    <col min="5" max="5" width="10.5703125" bestFit="1" customWidth="1"/>
    <col min="6" max="6" width="11.5703125" bestFit="1" customWidth="1"/>
    <col min="7" max="7" width="13.85546875" bestFit="1" customWidth="1"/>
    <col min="8" max="8" width="12.7109375" bestFit="1" customWidth="1"/>
    <col min="9" max="9" width="11.42578125" customWidth="1"/>
    <col min="10" max="10" width="11.5703125" bestFit="1" customWidth="1"/>
    <col min="11" max="11" width="13.5703125" customWidth="1"/>
    <col min="12" max="12" width="12.85546875" customWidth="1"/>
    <col min="14" max="14" width="11.5703125" bestFit="1" customWidth="1"/>
    <col min="15" max="15" width="13.85546875" bestFit="1" customWidth="1"/>
    <col min="16" max="16" width="12.7109375" bestFit="1" customWidth="1"/>
    <col min="29" max="29" width="1.5703125" bestFit="1" customWidth="1"/>
  </cols>
  <sheetData>
    <row r="2" spans="2:16" ht="15.75" thickBot="1" x14ac:dyDescent="0.3">
      <c r="B2" s="1" t="s">
        <v>0</v>
      </c>
      <c r="C2" s="59" t="s">
        <v>1</v>
      </c>
      <c r="D2" s="60" t="s">
        <v>2</v>
      </c>
      <c r="F2" s="1" t="s">
        <v>0</v>
      </c>
      <c r="G2" s="59" t="s">
        <v>3</v>
      </c>
      <c r="H2" s="61" t="s">
        <v>4</v>
      </c>
      <c r="J2" s="1" t="s">
        <v>0</v>
      </c>
      <c r="K2" s="59" t="s">
        <v>5</v>
      </c>
      <c r="L2" s="60" t="s">
        <v>6</v>
      </c>
      <c r="N2" s="1" t="s">
        <v>0</v>
      </c>
      <c r="O2" s="59" t="s">
        <v>7</v>
      </c>
      <c r="P2" s="60" t="s">
        <v>8</v>
      </c>
    </row>
    <row r="3" spans="2:16" ht="15.75" thickTop="1" x14ac:dyDescent="0.25">
      <c r="B3" s="2" t="s">
        <v>9</v>
      </c>
      <c r="C3" s="4">
        <v>26.78</v>
      </c>
      <c r="D3" s="7">
        <v>26.174999999999997</v>
      </c>
      <c r="F3" s="2" t="s">
        <v>9</v>
      </c>
      <c r="G3" s="4">
        <v>25.25</v>
      </c>
      <c r="H3" s="7">
        <v>25.79</v>
      </c>
      <c r="J3" s="2" t="s">
        <v>9</v>
      </c>
      <c r="K3" s="4">
        <v>29.09</v>
      </c>
      <c r="L3" s="7">
        <v>27.19</v>
      </c>
      <c r="N3" s="2" t="s">
        <v>9</v>
      </c>
      <c r="O3" s="4">
        <v>22.62</v>
      </c>
      <c r="P3" s="7">
        <v>23.704999999999998</v>
      </c>
    </row>
    <row r="4" spans="2:16" x14ac:dyDescent="0.25">
      <c r="B4" s="3" t="s">
        <v>10</v>
      </c>
      <c r="C4" s="5">
        <v>24.34</v>
      </c>
      <c r="D4" s="6">
        <v>23.344999999999999</v>
      </c>
      <c r="F4" s="3" t="s">
        <v>10</v>
      </c>
      <c r="G4" s="5">
        <v>25.07</v>
      </c>
      <c r="H4" s="6">
        <v>24.18</v>
      </c>
      <c r="J4" s="3" t="s">
        <v>10</v>
      </c>
      <c r="K4" s="5">
        <v>22.63</v>
      </c>
      <c r="L4" s="6">
        <v>23.48</v>
      </c>
      <c r="N4" s="3" t="s">
        <v>10</v>
      </c>
      <c r="O4" s="5">
        <v>25.19</v>
      </c>
      <c r="P4" s="6">
        <v>24.28</v>
      </c>
    </row>
    <row r="5" spans="2:16" x14ac:dyDescent="0.25">
      <c r="B5" s="3" t="s">
        <v>11</v>
      </c>
      <c r="C5" s="5">
        <v>13.93</v>
      </c>
      <c r="D5" s="6">
        <v>15.895</v>
      </c>
      <c r="F5" s="3" t="s">
        <v>11</v>
      </c>
      <c r="G5" s="5">
        <v>13.78</v>
      </c>
      <c r="H5" s="6">
        <v>15.78</v>
      </c>
      <c r="J5" s="3" t="s">
        <v>11</v>
      </c>
      <c r="K5" s="5">
        <v>14.08</v>
      </c>
      <c r="L5" s="6">
        <v>14.28</v>
      </c>
      <c r="N5" s="3" t="s">
        <v>11</v>
      </c>
      <c r="O5" s="5">
        <v>12.84</v>
      </c>
      <c r="P5" s="6">
        <v>13.695</v>
      </c>
    </row>
    <row r="6" spans="2:16" x14ac:dyDescent="0.25">
      <c r="B6" s="3" t="s">
        <v>12</v>
      </c>
      <c r="C6" s="5">
        <v>1.66</v>
      </c>
      <c r="D6" s="6">
        <v>1.49</v>
      </c>
      <c r="F6" s="3" t="s">
        <v>12</v>
      </c>
      <c r="G6" s="5">
        <v>1.37</v>
      </c>
      <c r="H6" s="6">
        <v>1.48</v>
      </c>
      <c r="J6" s="3" t="s">
        <v>12</v>
      </c>
      <c r="K6" s="5">
        <v>1.59</v>
      </c>
      <c r="L6" s="6">
        <v>1.28</v>
      </c>
      <c r="N6" s="3" t="s">
        <v>12</v>
      </c>
      <c r="O6" s="5">
        <v>1.31</v>
      </c>
      <c r="P6" s="6">
        <v>1.3199999999999998</v>
      </c>
    </row>
    <row r="7" spans="2:16" x14ac:dyDescent="0.25">
      <c r="B7" s="3" t="s">
        <v>13</v>
      </c>
      <c r="C7" s="5">
        <v>27.19</v>
      </c>
      <c r="D7" s="6">
        <v>26.814999999999998</v>
      </c>
      <c r="F7" s="3" t="s">
        <v>13</v>
      </c>
      <c r="G7" s="5">
        <v>28.86</v>
      </c>
      <c r="H7" s="6"/>
      <c r="J7" s="3" t="s">
        <v>13</v>
      </c>
      <c r="K7" s="5">
        <v>27.43</v>
      </c>
      <c r="L7" s="6">
        <v>29.04</v>
      </c>
      <c r="N7" s="3" t="s">
        <v>13</v>
      </c>
      <c r="O7" s="5">
        <v>32.450000000000003</v>
      </c>
      <c r="P7" s="6">
        <v>31.09</v>
      </c>
    </row>
    <row r="8" spans="2:16" x14ac:dyDescent="0.25">
      <c r="B8" s="3" t="s">
        <v>14</v>
      </c>
      <c r="C8" s="5">
        <v>6.08</v>
      </c>
      <c r="D8" s="6">
        <v>5.8049999999999997</v>
      </c>
      <c r="F8" s="3" t="s">
        <v>14</v>
      </c>
      <c r="G8" s="5">
        <v>5.64</v>
      </c>
      <c r="H8" s="6">
        <v>5.63</v>
      </c>
      <c r="J8" s="3" t="s">
        <v>14</v>
      </c>
      <c r="K8" s="5">
        <v>5.08</v>
      </c>
      <c r="L8" s="6">
        <v>4.6900000000000004</v>
      </c>
      <c r="N8" s="3" t="s">
        <v>14</v>
      </c>
      <c r="O8" s="5">
        <v>4.7</v>
      </c>
      <c r="P8" s="6">
        <v>4.5350000000000001</v>
      </c>
    </row>
    <row r="9" spans="2:16" x14ac:dyDescent="0.25">
      <c r="B9" s="3" t="s">
        <v>15</v>
      </c>
      <c r="C9" s="5">
        <v>0</v>
      </c>
      <c r="D9" s="6">
        <v>0.46500000000000002</v>
      </c>
      <c r="F9" s="3" t="s">
        <v>15</v>
      </c>
      <c r="G9" s="5">
        <v>0</v>
      </c>
      <c r="H9" s="6">
        <v>0</v>
      </c>
      <c r="J9" s="3" t="s">
        <v>15</v>
      </c>
      <c r="K9" s="5">
        <v>0.09</v>
      </c>
      <c r="L9" s="6">
        <v>0</v>
      </c>
      <c r="N9" s="3" t="s">
        <v>15</v>
      </c>
      <c r="O9" s="5">
        <v>0.88</v>
      </c>
      <c r="P9" s="6">
        <v>1.355</v>
      </c>
    </row>
    <row r="10" spans="2:16" x14ac:dyDescent="0.25">
      <c r="B10" s="3" t="s">
        <v>16</v>
      </c>
      <c r="C10" s="5">
        <v>16.399999999999999</v>
      </c>
      <c r="D10" s="6">
        <v>16.670000000000002</v>
      </c>
      <c r="F10" s="3" t="s">
        <v>16</v>
      </c>
      <c r="G10" s="5">
        <v>15.81</v>
      </c>
      <c r="H10" s="6">
        <v>16.5</v>
      </c>
      <c r="J10" s="3" t="s">
        <v>16</v>
      </c>
      <c r="K10" s="5">
        <v>16.11</v>
      </c>
      <c r="L10" s="6">
        <v>15.61</v>
      </c>
      <c r="N10" s="3" t="s">
        <v>16</v>
      </c>
      <c r="O10" s="5">
        <v>14.92</v>
      </c>
      <c r="P10" s="6">
        <v>15.125</v>
      </c>
    </row>
    <row r="11" spans="2:16" x14ac:dyDescent="0.25">
      <c r="B11" s="3" t="s">
        <v>17</v>
      </c>
      <c r="C11" s="5">
        <v>1.015309932785661</v>
      </c>
      <c r="D11" s="6">
        <v>1.0260383453777298</v>
      </c>
      <c r="F11" s="3" t="s">
        <v>17</v>
      </c>
      <c r="G11" s="5">
        <v>1.1429702970297029</v>
      </c>
      <c r="H11" s="6">
        <v>1.0511826289259403</v>
      </c>
      <c r="J11" s="3" t="s">
        <v>17</v>
      </c>
      <c r="K11" s="5">
        <v>0.94293571674114818</v>
      </c>
      <c r="L11" s="6">
        <v>1.0680397204854726</v>
      </c>
      <c r="N11" s="3" t="s">
        <v>17</v>
      </c>
      <c r="O11" s="5">
        <v>1.4345711759504864</v>
      </c>
      <c r="P11" s="6">
        <v>1.3116902739440792</v>
      </c>
    </row>
    <row r="12" spans="2:16" x14ac:dyDescent="0.25">
      <c r="B12" s="3" t="s">
        <v>18</v>
      </c>
      <c r="C12" s="5">
        <v>0.37354032147272975</v>
      </c>
      <c r="D12" s="6">
        <v>0.36914353091614799</v>
      </c>
      <c r="F12" s="3" t="s">
        <v>18</v>
      </c>
      <c r="G12" s="5">
        <v>0.40585009140767825</v>
      </c>
      <c r="H12" s="6">
        <v>0.372083447707933</v>
      </c>
      <c r="J12" s="3" t="s">
        <v>18</v>
      </c>
      <c r="K12" s="5">
        <v>0.37850144887539672</v>
      </c>
      <c r="L12" s="6">
        <v>0.40947546531302875</v>
      </c>
      <c r="N12" s="3" t="s">
        <v>18</v>
      </c>
      <c r="O12" s="5">
        <v>0.48679867986798675</v>
      </c>
      <c r="P12" s="6">
        <v>0.46077420976339456</v>
      </c>
    </row>
    <row r="14" spans="2:16" ht="15.75" thickBot="1" x14ac:dyDescent="0.3">
      <c r="B14" s="1" t="s">
        <v>0</v>
      </c>
      <c r="C14" s="59" t="s">
        <v>19</v>
      </c>
      <c r="D14" s="60" t="s">
        <v>20</v>
      </c>
      <c r="F14" s="1" t="s">
        <v>0</v>
      </c>
      <c r="G14" s="59" t="s">
        <v>21</v>
      </c>
      <c r="H14" s="60" t="s">
        <v>22</v>
      </c>
      <c r="J14" s="1" t="s">
        <v>0</v>
      </c>
      <c r="K14" s="59" t="s">
        <v>23</v>
      </c>
      <c r="L14" s="60" t="s">
        <v>24</v>
      </c>
      <c r="N14" s="1" t="s">
        <v>0</v>
      </c>
      <c r="O14" s="59" t="s">
        <v>25</v>
      </c>
      <c r="P14" s="60" t="s">
        <v>26</v>
      </c>
    </row>
    <row r="15" spans="2:16" ht="15.75" thickTop="1" x14ac:dyDescent="0.25">
      <c r="B15" s="2" t="s">
        <v>9</v>
      </c>
      <c r="C15" s="4">
        <v>26.43</v>
      </c>
      <c r="D15" s="7">
        <v>27.13</v>
      </c>
      <c r="F15" s="2" t="s">
        <v>9</v>
      </c>
      <c r="G15" s="4">
        <v>26.85</v>
      </c>
      <c r="H15" s="7">
        <v>26.6</v>
      </c>
      <c r="J15" s="2" t="s">
        <v>9</v>
      </c>
      <c r="K15" s="7">
        <v>30.56</v>
      </c>
      <c r="L15" s="7">
        <v>28.97</v>
      </c>
      <c r="N15" s="2" t="s">
        <v>9</v>
      </c>
      <c r="O15" s="7">
        <v>27.84</v>
      </c>
      <c r="P15" s="7">
        <v>27.44</v>
      </c>
    </row>
    <row r="16" spans="2:16" x14ac:dyDescent="0.25">
      <c r="B16" s="3" t="s">
        <v>10</v>
      </c>
      <c r="C16" s="5">
        <v>20.92</v>
      </c>
      <c r="D16" s="6">
        <v>22.56</v>
      </c>
      <c r="F16" s="3" t="s">
        <v>10</v>
      </c>
      <c r="G16" s="5">
        <v>22.18</v>
      </c>
      <c r="H16" s="6">
        <v>22.64</v>
      </c>
      <c r="J16" s="3" t="s">
        <v>10</v>
      </c>
      <c r="K16" s="6">
        <v>19.7</v>
      </c>
      <c r="L16" s="7">
        <v>19.66</v>
      </c>
      <c r="N16" s="3" t="s">
        <v>10</v>
      </c>
      <c r="O16" s="6">
        <v>21.29</v>
      </c>
      <c r="P16" s="6">
        <v>21.33</v>
      </c>
    </row>
    <row r="17" spans="2:16" x14ac:dyDescent="0.25">
      <c r="B17" s="3" t="s">
        <v>11</v>
      </c>
      <c r="C17" s="5">
        <v>14.67</v>
      </c>
      <c r="D17" s="6">
        <v>15.18</v>
      </c>
      <c r="F17" s="3" t="s">
        <v>11</v>
      </c>
      <c r="G17" s="5">
        <v>14.15</v>
      </c>
      <c r="H17" s="6">
        <v>14.9</v>
      </c>
      <c r="J17" s="3" t="s">
        <v>11</v>
      </c>
      <c r="K17" s="6">
        <v>14.95</v>
      </c>
      <c r="L17" s="7">
        <v>14.16</v>
      </c>
      <c r="N17" s="3" t="s">
        <v>11</v>
      </c>
      <c r="O17" s="6">
        <v>14.04</v>
      </c>
      <c r="P17" s="6">
        <v>14.24</v>
      </c>
    </row>
    <row r="18" spans="2:16" x14ac:dyDescent="0.25">
      <c r="B18" s="3" t="s">
        <v>12</v>
      </c>
      <c r="C18" s="5">
        <v>1.0250000000000001</v>
      </c>
      <c r="D18" s="6">
        <v>1.1499999999999999</v>
      </c>
      <c r="F18" s="3" t="s">
        <v>12</v>
      </c>
      <c r="G18" s="5">
        <v>0.98</v>
      </c>
      <c r="H18" s="6">
        <v>1.02</v>
      </c>
      <c r="J18" s="3" t="s">
        <v>12</v>
      </c>
      <c r="K18" s="6">
        <v>0.97</v>
      </c>
      <c r="L18" s="7">
        <v>0.84</v>
      </c>
      <c r="N18" s="3" t="s">
        <v>12</v>
      </c>
      <c r="O18" s="6">
        <v>0.97</v>
      </c>
      <c r="P18" s="6">
        <v>0.94</v>
      </c>
    </row>
    <row r="19" spans="2:16" x14ac:dyDescent="0.25">
      <c r="B19" s="3" t="s">
        <v>13</v>
      </c>
      <c r="C19" s="5">
        <v>29.759999999999998</v>
      </c>
      <c r="D19" s="6">
        <v>28.14</v>
      </c>
      <c r="F19" s="3" t="s">
        <v>13</v>
      </c>
      <c r="G19" s="5">
        <v>30.53</v>
      </c>
      <c r="H19" s="6">
        <v>29.23</v>
      </c>
      <c r="J19" s="3" t="s">
        <v>13</v>
      </c>
      <c r="K19" s="6">
        <v>28.98</v>
      </c>
      <c r="L19" s="7">
        <v>31.23</v>
      </c>
      <c r="N19" s="3" t="s">
        <v>13</v>
      </c>
      <c r="O19" s="6">
        <v>31.01</v>
      </c>
      <c r="P19" s="6">
        <v>31.2</v>
      </c>
    </row>
    <row r="20" spans="2:16" x14ac:dyDescent="0.25">
      <c r="B20" s="3" t="s">
        <v>14</v>
      </c>
      <c r="C20" s="5">
        <v>5.83</v>
      </c>
      <c r="D20" s="6">
        <v>5.81</v>
      </c>
      <c r="F20" s="3" t="s">
        <v>14</v>
      </c>
      <c r="G20" s="5">
        <v>5.29</v>
      </c>
      <c r="H20" s="6">
        <v>5.56</v>
      </c>
      <c r="J20" s="3" t="s">
        <v>14</v>
      </c>
      <c r="K20" s="6">
        <v>4.82</v>
      </c>
      <c r="L20" s="7">
        <v>4.49</v>
      </c>
      <c r="N20" s="3" t="s">
        <v>14</v>
      </c>
      <c r="O20" s="6">
        <v>4.8099999999999996</v>
      </c>
      <c r="P20" s="6">
        <v>4.8099999999999996</v>
      </c>
    </row>
    <row r="21" spans="2:16" x14ac:dyDescent="0.25">
      <c r="B21" s="3" t="s">
        <v>15</v>
      </c>
      <c r="C21" s="5">
        <v>1.36</v>
      </c>
      <c r="D21" s="6">
        <v>0</v>
      </c>
      <c r="F21" s="3" t="s">
        <v>15</v>
      </c>
      <c r="G21" s="5">
        <v>0.01</v>
      </c>
      <c r="H21" s="6">
        <v>0.05</v>
      </c>
      <c r="J21" s="3" t="s">
        <v>15</v>
      </c>
      <c r="K21" s="6">
        <v>0</v>
      </c>
      <c r="L21" s="7">
        <v>0.65</v>
      </c>
      <c r="N21" s="3" t="s">
        <v>15</v>
      </c>
      <c r="O21" s="6">
        <v>0</v>
      </c>
      <c r="P21" s="6">
        <v>0</v>
      </c>
    </row>
    <row r="22" spans="2:16" x14ac:dyDescent="0.25">
      <c r="B22" s="3" t="s">
        <v>16</v>
      </c>
      <c r="C22" s="5">
        <v>16.170000000000002</v>
      </c>
      <c r="D22" s="6">
        <v>16.37</v>
      </c>
      <c r="F22" s="3" t="s">
        <v>16</v>
      </c>
      <c r="G22" s="5">
        <v>15.76</v>
      </c>
      <c r="H22" s="6">
        <v>16.05</v>
      </c>
      <c r="J22" s="3" t="s">
        <v>16</v>
      </c>
      <c r="K22" s="6">
        <v>16.059999999999999</v>
      </c>
      <c r="L22" s="7">
        <v>15.51</v>
      </c>
      <c r="N22" s="3" t="s">
        <v>16</v>
      </c>
      <c r="O22" s="6">
        <v>15.63</v>
      </c>
      <c r="P22" s="6">
        <v>15.62</v>
      </c>
    </row>
    <row r="23" spans="2:16" x14ac:dyDescent="0.25">
      <c r="B23" s="3" t="s">
        <v>17</v>
      </c>
      <c r="C23" s="5">
        <v>1.1259860340797772</v>
      </c>
      <c r="D23" s="6">
        <f>D19/D15</f>
        <v>1.0372281607077036</v>
      </c>
      <c r="F23" s="3" t="s">
        <v>17</v>
      </c>
      <c r="G23" s="5">
        <v>1.1370577281191807</v>
      </c>
      <c r="H23" s="6">
        <f>H19/H15</f>
        <v>1.0988721804511277</v>
      </c>
      <c r="J23" s="3" t="s">
        <v>17</v>
      </c>
      <c r="K23" s="6">
        <f>K19/K15</f>
        <v>0.94829842931937181</v>
      </c>
      <c r="L23" s="7">
        <v>1.0780117362789092</v>
      </c>
      <c r="N23" s="3" t="s">
        <v>17</v>
      </c>
      <c r="O23" s="6">
        <f>O19/O15</f>
        <v>1.1138649425287357</v>
      </c>
      <c r="P23" s="6">
        <f>P19/P15</f>
        <v>1.1370262390670554</v>
      </c>
    </row>
    <row r="24" spans="2:16" x14ac:dyDescent="0.25">
      <c r="B24" s="3" t="s">
        <v>18</v>
      </c>
      <c r="C24" s="5">
        <v>0.4323537258723088</v>
      </c>
      <c r="D24" s="6">
        <f>D19/(D15+D16+D17+D18+D20)</f>
        <v>0.39175831825142693</v>
      </c>
      <c r="F24" s="3" t="s">
        <v>18</v>
      </c>
      <c r="G24" s="5">
        <v>0.43959683225341972</v>
      </c>
      <c r="H24" s="6">
        <f>H19/(H15+H16+H17+H18+H20)</f>
        <v>0.41332013574660637</v>
      </c>
      <c r="J24" s="3" t="s">
        <v>18</v>
      </c>
      <c r="K24" s="6">
        <f>K19/(K15+K16+K17+K18+K20)</f>
        <v>0.40816901408450706</v>
      </c>
      <c r="L24" s="7">
        <v>0.45845566647093372</v>
      </c>
      <c r="N24" s="3" t="s">
        <v>18</v>
      </c>
      <c r="O24" s="6">
        <f>O19/(O15+O16+O17+O18+O20)</f>
        <v>0.44974619289340101</v>
      </c>
      <c r="P24" s="6">
        <f>P19/(P15+P16+P17+P18+P20)</f>
        <v>0.45375218150087265</v>
      </c>
    </row>
    <row r="26" spans="2:16" ht="15.75" thickBot="1" x14ac:dyDescent="0.3">
      <c r="B26" s="1" t="s">
        <v>0</v>
      </c>
      <c r="C26" s="59" t="s">
        <v>27</v>
      </c>
      <c r="D26" s="60" t="s">
        <v>28</v>
      </c>
      <c r="F26" s="1" t="s">
        <v>0</v>
      </c>
      <c r="G26" s="59" t="s">
        <v>29</v>
      </c>
      <c r="H26" s="60" t="s">
        <v>30</v>
      </c>
      <c r="J26" s="1" t="s">
        <v>0</v>
      </c>
      <c r="K26" s="59" t="s">
        <v>31</v>
      </c>
      <c r="L26" s="60" t="s">
        <v>32</v>
      </c>
      <c r="N26" s="1" t="s">
        <v>0</v>
      </c>
      <c r="O26" s="59" t="s">
        <v>33</v>
      </c>
      <c r="P26" s="60" t="s">
        <v>34</v>
      </c>
    </row>
    <row r="27" spans="2:16" ht="15.75" thickTop="1" x14ac:dyDescent="0.25">
      <c r="B27" s="2" t="s">
        <v>9</v>
      </c>
      <c r="C27" s="4">
        <v>28.414999999999999</v>
      </c>
      <c r="D27" s="7">
        <v>29.005000000000003</v>
      </c>
      <c r="F27" s="2" t="s">
        <v>9</v>
      </c>
      <c r="G27" s="4">
        <v>29.225000000000001</v>
      </c>
      <c r="H27" s="7">
        <v>28.46</v>
      </c>
      <c r="J27" s="2" t="s">
        <v>9</v>
      </c>
      <c r="K27" s="4">
        <v>32.19</v>
      </c>
      <c r="L27" s="7">
        <v>33.83</v>
      </c>
      <c r="N27" s="2" t="s">
        <v>9</v>
      </c>
      <c r="O27" s="4">
        <v>30.27</v>
      </c>
      <c r="P27" s="7">
        <v>29.97</v>
      </c>
    </row>
    <row r="28" spans="2:16" x14ac:dyDescent="0.25">
      <c r="B28" s="3" t="s">
        <v>10</v>
      </c>
      <c r="C28" s="5">
        <v>18.990000000000002</v>
      </c>
      <c r="D28" s="6">
        <v>17.89</v>
      </c>
      <c r="F28" s="3" t="s">
        <v>10</v>
      </c>
      <c r="G28" s="5">
        <v>19.240000000000002</v>
      </c>
      <c r="H28" s="6">
        <v>19.53</v>
      </c>
      <c r="J28" s="3" t="s">
        <v>10</v>
      </c>
      <c r="K28" s="5">
        <v>17.61</v>
      </c>
      <c r="L28" s="6">
        <v>16.41</v>
      </c>
      <c r="N28" s="3" t="s">
        <v>10</v>
      </c>
      <c r="O28" s="5">
        <v>18.2</v>
      </c>
      <c r="P28" s="6">
        <v>19.21</v>
      </c>
    </row>
    <row r="29" spans="2:16" x14ac:dyDescent="0.25">
      <c r="B29" s="3" t="s">
        <v>11</v>
      </c>
      <c r="C29" s="5">
        <v>13.914999999999999</v>
      </c>
      <c r="D29" s="6">
        <v>13.605</v>
      </c>
      <c r="F29" s="3" t="s">
        <v>11</v>
      </c>
      <c r="G29" s="5">
        <v>13.625</v>
      </c>
      <c r="H29" s="6">
        <v>13.73</v>
      </c>
      <c r="J29" s="3" t="s">
        <v>11</v>
      </c>
      <c r="K29" s="5">
        <v>14.09</v>
      </c>
      <c r="L29" s="6">
        <v>14.25</v>
      </c>
      <c r="N29" s="3" t="s">
        <v>11</v>
      </c>
      <c r="O29" s="5">
        <v>13.21</v>
      </c>
      <c r="P29" s="6">
        <v>12.53</v>
      </c>
    </row>
    <row r="30" spans="2:16" x14ac:dyDescent="0.25">
      <c r="B30" s="3" t="s">
        <v>12</v>
      </c>
      <c r="C30" s="5">
        <v>0.53</v>
      </c>
      <c r="D30" s="6">
        <v>0.495</v>
      </c>
      <c r="F30" s="3" t="s">
        <v>12</v>
      </c>
      <c r="G30" s="5">
        <v>0.58499999999999996</v>
      </c>
      <c r="H30" s="6">
        <v>0.56000000000000005</v>
      </c>
      <c r="J30" s="3" t="s">
        <v>12</v>
      </c>
      <c r="K30" s="5">
        <v>0.78</v>
      </c>
      <c r="L30" s="6">
        <v>0.53</v>
      </c>
      <c r="N30" s="3" t="s">
        <v>12</v>
      </c>
      <c r="O30" s="5">
        <v>0.59</v>
      </c>
      <c r="P30" s="6">
        <v>0.56999999999999995</v>
      </c>
    </row>
    <row r="31" spans="2:16" x14ac:dyDescent="0.25">
      <c r="B31" s="3" t="s">
        <v>13</v>
      </c>
      <c r="C31" s="5">
        <v>33.034999999999997</v>
      </c>
      <c r="D31" s="6">
        <v>34.424999999999997</v>
      </c>
      <c r="F31" s="3" t="s">
        <v>13</v>
      </c>
      <c r="G31" s="5">
        <v>31.724999999999998</v>
      </c>
      <c r="H31" s="6">
        <v>32.79</v>
      </c>
      <c r="J31" s="3" t="s">
        <v>13</v>
      </c>
      <c r="K31" s="5">
        <v>28.21</v>
      </c>
      <c r="L31" s="6">
        <v>30.69</v>
      </c>
      <c r="N31" s="3" t="s">
        <v>13</v>
      </c>
      <c r="O31" s="5">
        <v>33.270000000000003</v>
      </c>
      <c r="P31" s="6">
        <v>33.61</v>
      </c>
    </row>
    <row r="32" spans="2:16" x14ac:dyDescent="0.25">
      <c r="B32" s="3" t="s">
        <v>14</v>
      </c>
      <c r="C32" s="5">
        <v>5.0950000000000006</v>
      </c>
      <c r="D32" s="6">
        <v>4.5549999999999997</v>
      </c>
      <c r="F32" s="3" t="s">
        <v>14</v>
      </c>
      <c r="G32" s="5">
        <v>4.8450000000000006</v>
      </c>
      <c r="H32" s="6">
        <v>4.9049999999999994</v>
      </c>
      <c r="J32" s="3" t="s">
        <v>14</v>
      </c>
      <c r="K32" s="5">
        <v>4.6500000000000004</v>
      </c>
      <c r="L32" s="6">
        <v>4.25</v>
      </c>
      <c r="N32" s="3" t="s">
        <v>14</v>
      </c>
      <c r="O32" s="5">
        <v>4.42</v>
      </c>
      <c r="P32" s="6">
        <v>4.08</v>
      </c>
    </row>
    <row r="33" spans="2:16" x14ac:dyDescent="0.25">
      <c r="B33" s="3" t="s">
        <v>15</v>
      </c>
      <c r="C33" s="5">
        <v>0</v>
      </c>
      <c r="D33" s="6">
        <v>5.0000000000000001E-3</v>
      </c>
      <c r="F33" s="3" t="s">
        <v>15</v>
      </c>
      <c r="G33" s="5">
        <v>0.74</v>
      </c>
      <c r="H33" s="6">
        <v>0</v>
      </c>
      <c r="J33" s="3" t="s">
        <v>15</v>
      </c>
      <c r="K33" s="5">
        <v>2.4700000000000002</v>
      </c>
      <c r="L33" s="6">
        <v>0</v>
      </c>
      <c r="N33" s="3" t="s">
        <v>15</v>
      </c>
      <c r="O33" s="5">
        <v>0</v>
      </c>
      <c r="P33" s="6">
        <v>0</v>
      </c>
    </row>
    <row r="34" spans="2:16" x14ac:dyDescent="0.25">
      <c r="B34" s="3" t="s">
        <v>16</v>
      </c>
      <c r="C34" s="5">
        <v>15.62</v>
      </c>
      <c r="D34" s="6">
        <v>15.379999999999999</v>
      </c>
      <c r="F34" s="3" t="s">
        <v>16</v>
      </c>
      <c r="G34" s="5">
        <v>15.379999999999999</v>
      </c>
      <c r="H34" s="6">
        <v>15.445</v>
      </c>
      <c r="J34" s="3" t="s">
        <v>16</v>
      </c>
      <c r="K34" s="5">
        <v>15.6</v>
      </c>
      <c r="L34" s="6">
        <v>15.68</v>
      </c>
      <c r="N34" s="3" t="s">
        <v>16</v>
      </c>
      <c r="O34" s="5">
        <v>15.28</v>
      </c>
      <c r="P34" s="6">
        <v>14.82</v>
      </c>
    </row>
    <row r="35" spans="2:16" x14ac:dyDescent="0.25">
      <c r="B35" s="3" t="s">
        <v>17</v>
      </c>
      <c r="C35" s="5">
        <v>1.1655025619608921</v>
      </c>
      <c r="D35" s="6">
        <v>1.1886444124046101</v>
      </c>
      <c r="F35" s="3" t="s">
        <v>17</v>
      </c>
      <c r="G35" s="5">
        <v>1.0883426384873287</v>
      </c>
      <c r="H35" s="6">
        <v>1.1525982092625</v>
      </c>
      <c r="J35" s="3" t="s">
        <v>17</v>
      </c>
      <c r="K35" s="5">
        <v>0.87635911773842812</v>
      </c>
      <c r="L35" s="6">
        <f>L31/L27</f>
        <v>0.90718297369198941</v>
      </c>
      <c r="N35" s="3" t="s">
        <v>17</v>
      </c>
      <c r="O35" s="5">
        <v>1.0991080277502479</v>
      </c>
      <c r="P35" s="6">
        <f>P31/P27</f>
        <v>1.1214547881214547</v>
      </c>
    </row>
    <row r="36" spans="2:16" x14ac:dyDescent="0.25">
      <c r="B36" s="3" t="s">
        <v>18</v>
      </c>
      <c r="C36" s="5">
        <v>0.49357497052642552</v>
      </c>
      <c r="D36" s="6">
        <v>0.52528629498731694</v>
      </c>
      <c r="F36" s="3" t="s">
        <v>18</v>
      </c>
      <c r="G36" s="5">
        <v>0.47376521095810531</v>
      </c>
      <c r="H36" s="6">
        <v>0.48812412581199838</v>
      </c>
      <c r="J36" s="3" t="s">
        <v>18</v>
      </c>
      <c r="K36" s="5">
        <v>0.40695326024235429</v>
      </c>
      <c r="L36" s="6">
        <f>L31/(L27+L28+L29+L30+L32)</f>
        <v>0.44304893893460379</v>
      </c>
      <c r="N36" s="3" t="s">
        <v>18</v>
      </c>
      <c r="O36" s="5">
        <v>0.49887539361223576</v>
      </c>
      <c r="P36" s="6">
        <f>P31/(P27+P28+P29+P30+P32)</f>
        <v>0.50647980711271845</v>
      </c>
    </row>
    <row r="38" spans="2:16" ht="15.75" thickBot="1" x14ac:dyDescent="0.3">
      <c r="B38" s="1" t="s">
        <v>0</v>
      </c>
      <c r="C38" s="59" t="s">
        <v>35</v>
      </c>
      <c r="D38" s="60" t="s">
        <v>36</v>
      </c>
      <c r="F38" s="1" t="s">
        <v>0</v>
      </c>
      <c r="G38" s="59" t="s">
        <v>37</v>
      </c>
      <c r="H38" s="60" t="s">
        <v>38</v>
      </c>
      <c r="J38" s="1" t="s">
        <v>0</v>
      </c>
      <c r="K38" s="59" t="s">
        <v>39</v>
      </c>
      <c r="L38" s="60" t="s">
        <v>40</v>
      </c>
      <c r="N38" s="1" t="s">
        <v>0</v>
      </c>
      <c r="O38" s="59" t="s">
        <v>41</v>
      </c>
      <c r="P38" s="60" t="s">
        <v>42</v>
      </c>
    </row>
    <row r="39" spans="2:16" ht="15.75" thickTop="1" x14ac:dyDescent="0.25">
      <c r="B39" s="2" t="s">
        <v>9</v>
      </c>
      <c r="C39" s="4">
        <v>31.04</v>
      </c>
      <c r="D39" s="7">
        <v>30.935000000000002</v>
      </c>
      <c r="F39" s="2" t="s">
        <v>9</v>
      </c>
      <c r="G39" s="4">
        <v>31.305</v>
      </c>
      <c r="H39" s="7">
        <v>30.59</v>
      </c>
      <c r="J39" s="2" t="s">
        <v>9</v>
      </c>
      <c r="K39" s="4">
        <v>35.445</v>
      </c>
      <c r="L39" s="7">
        <v>35.25</v>
      </c>
      <c r="N39" s="2" t="s">
        <v>9</v>
      </c>
      <c r="O39" s="4">
        <v>33.935000000000002</v>
      </c>
      <c r="P39" s="7">
        <v>32.479999999999997</v>
      </c>
    </row>
    <row r="40" spans="2:16" x14ac:dyDescent="0.25">
      <c r="B40" s="3" t="s">
        <v>10</v>
      </c>
      <c r="C40" s="5">
        <v>16.740000000000002</v>
      </c>
      <c r="D40" s="6">
        <v>16.66</v>
      </c>
      <c r="F40" s="3" t="s">
        <v>10</v>
      </c>
      <c r="G40" s="5">
        <v>16.865000000000002</v>
      </c>
      <c r="H40" s="6">
        <v>17.309999999999999</v>
      </c>
      <c r="J40" s="3" t="s">
        <v>10</v>
      </c>
      <c r="K40" s="5">
        <v>15.125</v>
      </c>
      <c r="L40" s="6">
        <v>14.67</v>
      </c>
      <c r="N40" s="3" t="s">
        <v>10</v>
      </c>
      <c r="O40" s="5">
        <v>15.344999999999999</v>
      </c>
      <c r="P40" s="6">
        <v>15.98</v>
      </c>
    </row>
    <row r="41" spans="2:16" x14ac:dyDescent="0.25">
      <c r="B41" s="3" t="s">
        <v>11</v>
      </c>
      <c r="C41" s="5">
        <v>12.734999999999999</v>
      </c>
      <c r="D41" s="6">
        <v>12.475000000000001</v>
      </c>
      <c r="F41" s="3" t="s">
        <v>11</v>
      </c>
      <c r="G41" s="5">
        <v>12.835000000000001</v>
      </c>
      <c r="H41" s="6">
        <v>12.015000000000001</v>
      </c>
      <c r="J41" s="3" t="s">
        <v>11</v>
      </c>
      <c r="K41" s="5">
        <v>13.64</v>
      </c>
      <c r="L41" s="6">
        <v>12.94</v>
      </c>
      <c r="N41" s="3" t="s">
        <v>11</v>
      </c>
      <c r="O41" s="5">
        <v>12.094999999999999</v>
      </c>
      <c r="P41" s="6">
        <v>11.21</v>
      </c>
    </row>
    <row r="42" spans="2:16" x14ac:dyDescent="0.25">
      <c r="B42" s="3" t="s">
        <v>12</v>
      </c>
      <c r="C42" s="5">
        <v>0.33</v>
      </c>
      <c r="D42" s="6">
        <v>0.34499999999999997</v>
      </c>
      <c r="F42" s="3" t="s">
        <v>12</v>
      </c>
      <c r="G42" s="5">
        <v>0.38</v>
      </c>
      <c r="H42" s="6">
        <v>0.35</v>
      </c>
      <c r="J42" s="3" t="s">
        <v>12</v>
      </c>
      <c r="K42" s="5">
        <v>0.38500000000000001</v>
      </c>
      <c r="L42" s="6">
        <v>0.37</v>
      </c>
      <c r="N42" s="3" t="s">
        <v>12</v>
      </c>
      <c r="O42" s="5">
        <v>0.36499999999999999</v>
      </c>
      <c r="P42" s="6">
        <v>0.37</v>
      </c>
    </row>
    <row r="43" spans="2:16" x14ac:dyDescent="0.25">
      <c r="B43" s="3" t="s">
        <v>13</v>
      </c>
      <c r="C43" s="5">
        <v>35.195</v>
      </c>
      <c r="D43" s="6">
        <v>35.549999999999997</v>
      </c>
      <c r="F43" s="3" t="s">
        <v>13</v>
      </c>
      <c r="G43" s="5">
        <v>34.435000000000002</v>
      </c>
      <c r="H43" s="6">
        <v>35.709999999999994</v>
      </c>
      <c r="J43" s="3" t="s">
        <v>13</v>
      </c>
      <c r="K43" s="5">
        <v>31.045000000000002</v>
      </c>
      <c r="L43" s="6">
        <v>33.07</v>
      </c>
      <c r="N43" s="3" t="s">
        <v>13</v>
      </c>
      <c r="O43" s="5">
        <v>34.549999999999997</v>
      </c>
      <c r="P43" s="6">
        <v>36.43</v>
      </c>
    </row>
    <row r="44" spans="2:16" x14ac:dyDescent="0.25">
      <c r="B44" s="3" t="s">
        <v>14</v>
      </c>
      <c r="C44" s="5">
        <v>3.9350000000000001</v>
      </c>
      <c r="D44" s="6">
        <v>3.91</v>
      </c>
      <c r="F44" s="3" t="s">
        <v>14</v>
      </c>
      <c r="G44" s="5">
        <v>4.1550000000000002</v>
      </c>
      <c r="H44" s="6">
        <v>3.99</v>
      </c>
      <c r="J44" s="3" t="s">
        <v>14</v>
      </c>
      <c r="K44" s="5">
        <v>3.87</v>
      </c>
      <c r="L44" s="6">
        <v>3.67</v>
      </c>
      <c r="N44" s="3" t="s">
        <v>14</v>
      </c>
      <c r="O44" s="5">
        <v>3.62</v>
      </c>
      <c r="P44" s="6">
        <v>3.4</v>
      </c>
    </row>
    <row r="45" spans="2:16" x14ac:dyDescent="0.25">
      <c r="B45" s="3" t="s">
        <v>15</v>
      </c>
      <c r="C45" s="5">
        <v>0</v>
      </c>
      <c r="D45" s="6">
        <v>0.09</v>
      </c>
      <c r="F45" s="3" t="s">
        <v>15</v>
      </c>
      <c r="G45" s="5">
        <v>5.0000000000000001E-3</v>
      </c>
      <c r="H45" s="6">
        <v>0</v>
      </c>
      <c r="J45" s="3" t="s">
        <v>15</v>
      </c>
      <c r="K45" s="5">
        <v>0.47499999999999998</v>
      </c>
      <c r="L45" s="6">
        <v>0</v>
      </c>
      <c r="N45" s="3" t="s">
        <v>15</v>
      </c>
      <c r="O45" s="5">
        <v>6.5000000000000002E-2</v>
      </c>
      <c r="P45" s="6">
        <v>0.12</v>
      </c>
    </row>
    <row r="46" spans="2:16" x14ac:dyDescent="0.25">
      <c r="B46" s="3" t="s">
        <v>16</v>
      </c>
      <c r="C46" s="5">
        <v>14.895</v>
      </c>
      <c r="D46" s="6">
        <v>14.824999999999999</v>
      </c>
      <c r="F46" s="3" t="s">
        <v>16</v>
      </c>
      <c r="G46" s="5">
        <v>15.059999999999999</v>
      </c>
      <c r="H46" s="6">
        <v>14.685</v>
      </c>
      <c r="J46" s="3" t="s">
        <v>16</v>
      </c>
      <c r="K46" s="5">
        <v>15.34</v>
      </c>
      <c r="L46" s="6">
        <v>15.15</v>
      </c>
      <c r="N46" s="3" t="s">
        <v>16</v>
      </c>
      <c r="O46" s="5">
        <v>14.805</v>
      </c>
      <c r="P46" s="6">
        <v>14.38</v>
      </c>
    </row>
    <row r="47" spans="2:16" x14ac:dyDescent="0.25">
      <c r="B47" s="3" t="s">
        <v>17</v>
      </c>
      <c r="C47" s="5">
        <v>1.1342448530404179</v>
      </c>
      <c r="D47" s="6">
        <v>1.1490407011997508</v>
      </c>
      <c r="F47" s="3" t="s">
        <v>17</v>
      </c>
      <c r="G47" s="5">
        <v>1.0998505778276817</v>
      </c>
      <c r="H47" s="6">
        <v>1.1690836859378166</v>
      </c>
      <c r="J47" s="3" t="s">
        <v>17</v>
      </c>
      <c r="K47" s="5">
        <v>0.87600335439848886</v>
      </c>
      <c r="L47" s="6">
        <v>0.9381560283687943</v>
      </c>
      <c r="N47" s="3" t="s">
        <v>17</v>
      </c>
      <c r="O47" s="5">
        <v>1.0180583996373469</v>
      </c>
      <c r="P47" s="6">
        <v>1.121613300492611</v>
      </c>
    </row>
    <row r="48" spans="2:16" x14ac:dyDescent="0.25">
      <c r="B48" s="3" t="s">
        <v>18</v>
      </c>
      <c r="C48" s="5">
        <v>0.54330228680548176</v>
      </c>
      <c r="D48" s="6">
        <v>0.55306353469445724</v>
      </c>
      <c r="F48" s="3" t="s">
        <v>18</v>
      </c>
      <c r="G48" s="5">
        <v>0.52580715020231139</v>
      </c>
      <c r="H48" s="6">
        <v>0.55684852966626086</v>
      </c>
      <c r="J48" s="3" t="s">
        <v>18</v>
      </c>
      <c r="K48" s="5">
        <v>0.4535613369069828</v>
      </c>
      <c r="L48" s="6">
        <v>0.4943198804185352</v>
      </c>
      <c r="N48" s="3" t="s">
        <v>18</v>
      </c>
      <c r="O48" s="5">
        <v>0.52870608554068521</v>
      </c>
      <c r="P48" s="6">
        <v>0.57424337957124849</v>
      </c>
    </row>
    <row r="50" spans="17:29" x14ac:dyDescent="0.25">
      <c r="R50" s="69"/>
      <c r="S50" s="69"/>
      <c r="T50" s="69"/>
      <c r="U50" s="69"/>
    </row>
    <row r="51" spans="17:29" x14ac:dyDescent="0.25">
      <c r="R51" s="15"/>
      <c r="S51" s="15"/>
      <c r="T51" s="15"/>
      <c r="U51" s="15"/>
    </row>
    <row r="52" spans="17:29" x14ac:dyDescent="0.25">
      <c r="Q52" s="15"/>
      <c r="AC52" t="s">
        <v>43</v>
      </c>
    </row>
    <row r="53" spans="17:29" x14ac:dyDescent="0.25">
      <c r="Q53" s="15"/>
    </row>
  </sheetData>
  <mergeCells count="1">
    <mergeCell ref="R50:U5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6B0D1-922B-415E-9F95-44DCF6CCFD0F}">
  <dimension ref="A1:J73"/>
  <sheetViews>
    <sheetView zoomScale="60" zoomScaleNormal="60" workbookViewId="0">
      <selection activeCell="I29" sqref="I29"/>
    </sheetView>
  </sheetViews>
  <sheetFormatPr defaultRowHeight="15" x14ac:dyDescent="0.25"/>
  <cols>
    <col min="1" max="1" width="33.85546875" customWidth="1"/>
    <col min="2" max="2" width="10.5703125" customWidth="1"/>
    <col min="5" max="5" width="13.85546875" customWidth="1"/>
    <col min="13" max="13" width="13.28515625" customWidth="1"/>
    <col min="16" max="16" width="12" customWidth="1"/>
  </cols>
  <sheetData>
    <row r="1" spans="1:10" ht="15" customHeight="1" thickBot="1" x14ac:dyDescent="0.3">
      <c r="A1" s="72" t="s">
        <v>44</v>
      </c>
      <c r="B1" s="72"/>
    </row>
    <row r="2" spans="1:10" ht="15.6" customHeight="1" thickTop="1" thickBot="1" x14ac:dyDescent="0.3">
      <c r="A2" s="72"/>
      <c r="B2" s="72"/>
      <c r="C2" s="70" t="s">
        <v>45</v>
      </c>
      <c r="D2" s="71"/>
      <c r="E2" s="70" t="s">
        <v>46</v>
      </c>
      <c r="F2" s="71"/>
      <c r="G2" s="70" t="s">
        <v>47</v>
      </c>
      <c r="H2" s="71"/>
      <c r="I2" s="70" t="s">
        <v>48</v>
      </c>
      <c r="J2" s="71"/>
    </row>
    <row r="3" spans="1:10" ht="16.5" thickTop="1" thickBot="1" x14ac:dyDescent="0.3">
      <c r="C3" s="14">
        <v>5</v>
      </c>
      <c r="D3" s="14">
        <v>10</v>
      </c>
      <c r="E3" s="14">
        <v>5</v>
      </c>
      <c r="F3" s="14">
        <v>10</v>
      </c>
      <c r="G3" s="14">
        <v>5</v>
      </c>
      <c r="H3" s="14">
        <v>10</v>
      </c>
      <c r="I3" s="14">
        <v>5</v>
      </c>
      <c r="J3" s="14">
        <v>10</v>
      </c>
    </row>
    <row r="4" spans="1:10" ht="15.75" thickBot="1" x14ac:dyDescent="0.3">
      <c r="B4" s="13">
        <v>900</v>
      </c>
      <c r="C4" s="11">
        <v>38.578785831838303</v>
      </c>
      <c r="D4" s="9">
        <v>35.409601152522654</v>
      </c>
      <c r="E4" s="9">
        <v>43.056012845377424</v>
      </c>
      <c r="F4" s="9">
        <v>35.099796100812647</v>
      </c>
      <c r="G4" s="9">
        <v>35.956260994566819</v>
      </c>
      <c r="H4" s="9">
        <v>33.738226357778451</v>
      </c>
      <c r="I4" s="9">
        <v>39.849277319703738</v>
      </c>
      <c r="J4" s="9">
        <v>40.044379952587462</v>
      </c>
    </row>
    <row r="5" spans="1:10" ht="15.75" thickBot="1" x14ac:dyDescent="0.3">
      <c r="B5" s="13">
        <v>850</v>
      </c>
      <c r="C5" s="12">
        <v>33.80466669618891</v>
      </c>
      <c r="D5" s="8">
        <v>31.163721199678747</v>
      </c>
      <c r="E5" s="8">
        <v>36.310460443098499</v>
      </c>
      <c r="F5" s="8">
        <v>28.001707547978551</v>
      </c>
      <c r="G5" s="8">
        <v>36.318892509261204</v>
      </c>
      <c r="H5" s="8">
        <v>27.028346226375817</v>
      </c>
      <c r="I5" s="8">
        <v>31.639066124239235</v>
      </c>
      <c r="J5" s="8">
        <v>35.196249438560663</v>
      </c>
    </row>
    <row r="6" spans="1:10" ht="15.75" thickBot="1" x14ac:dyDescent="0.3">
      <c r="B6" s="13">
        <v>800</v>
      </c>
      <c r="C6" s="12">
        <v>26.029082644358208</v>
      </c>
      <c r="D6" s="8">
        <v>26.467031987981031</v>
      </c>
      <c r="E6" s="8">
        <v>28.322600503014748</v>
      </c>
      <c r="F6" s="8">
        <v>25.999252929475485</v>
      </c>
      <c r="G6">
        <v>35.053913881256172</v>
      </c>
      <c r="H6" s="8">
        <v>27.301631569202542</v>
      </c>
      <c r="I6" s="8">
        <v>26.936383753279646</v>
      </c>
      <c r="J6" s="8">
        <v>33.921291146584004</v>
      </c>
    </row>
    <row r="7" spans="1:10" ht="15.75" thickBot="1" x14ac:dyDescent="0.3">
      <c r="B7" s="13">
        <v>750</v>
      </c>
      <c r="C7" s="67">
        <v>24.282844488670424</v>
      </c>
      <c r="D7" s="8">
        <v>25.08876136397717</v>
      </c>
      <c r="E7" s="8">
        <v>25.74130596786831</v>
      </c>
      <c r="F7" s="8">
        <v>24.933090199142718</v>
      </c>
      <c r="G7" s="8">
        <v>30.177476437887631</v>
      </c>
      <c r="H7" s="8">
        <v>19.717267334437178</v>
      </c>
      <c r="I7" s="8">
        <v>24.514304325574628</v>
      </c>
      <c r="J7" s="8">
        <v>23.954195918696207</v>
      </c>
    </row>
    <row r="15" spans="1:10" ht="14.65" customHeight="1" x14ac:dyDescent="0.25"/>
    <row r="16" spans="1:10" ht="15" customHeight="1" x14ac:dyDescent="0.25"/>
    <row r="25" ht="14.65" customHeight="1" x14ac:dyDescent="0.25"/>
    <row r="26" ht="15" customHeight="1" x14ac:dyDescent="0.25"/>
    <row r="27" ht="15.6" customHeight="1" x14ac:dyDescent="0.25"/>
    <row r="35" ht="14.65" customHeight="1" x14ac:dyDescent="0.25"/>
    <row r="36" ht="15" customHeight="1" x14ac:dyDescent="0.25"/>
    <row r="72" ht="15" customHeight="1" x14ac:dyDescent="0.25"/>
    <row r="73" ht="15.6" customHeight="1" x14ac:dyDescent="0.25"/>
  </sheetData>
  <mergeCells count="5">
    <mergeCell ref="I2:J2"/>
    <mergeCell ref="G2:H2"/>
    <mergeCell ref="E2:F2"/>
    <mergeCell ref="C2:D2"/>
    <mergeCell ref="A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39561-9052-4848-BB26-C100D94CE8F4}">
  <dimension ref="B2:Z42"/>
  <sheetViews>
    <sheetView zoomScale="80" zoomScaleNormal="80" workbookViewId="0">
      <selection activeCell="I20" sqref="I20"/>
    </sheetView>
  </sheetViews>
  <sheetFormatPr defaultRowHeight="15" x14ac:dyDescent="0.25"/>
  <cols>
    <col min="2" max="5" width="10" bestFit="1" customWidth="1"/>
    <col min="6" max="6" width="11.7109375" bestFit="1" customWidth="1"/>
    <col min="7" max="7" width="10" bestFit="1" customWidth="1"/>
    <col min="8" max="8" width="11.7109375" bestFit="1" customWidth="1"/>
    <col min="9" max="9" width="10" bestFit="1" customWidth="1"/>
    <col min="10" max="10" width="11.7109375" bestFit="1" customWidth="1"/>
    <col min="12" max="14" width="9.5703125" bestFit="1" customWidth="1"/>
    <col min="15" max="15" width="13.5703125" customWidth="1"/>
    <col min="16" max="16" width="11.7109375" bestFit="1" customWidth="1"/>
    <col min="17" max="17" width="9.5703125" bestFit="1" customWidth="1"/>
    <col min="18" max="18" width="11.7109375" bestFit="1" customWidth="1"/>
    <col min="19" max="19" width="9.5703125" bestFit="1" customWidth="1"/>
    <col min="20" max="20" width="11.7109375" bestFit="1" customWidth="1"/>
    <col min="23" max="23" width="17.5703125" customWidth="1"/>
    <col min="24" max="24" width="18.7109375" customWidth="1"/>
    <col min="25" max="25" width="12.5703125" customWidth="1"/>
    <col min="26" max="26" width="10.5703125" bestFit="1" customWidth="1"/>
  </cols>
  <sheetData>
    <row r="2" spans="2:25" ht="15.75" thickBot="1" x14ac:dyDescent="0.3">
      <c r="U2" s="52"/>
      <c r="V2" s="57" t="s">
        <v>49</v>
      </c>
      <c r="W2" s="17" t="s">
        <v>50</v>
      </c>
      <c r="X2" s="17" t="s">
        <v>51</v>
      </c>
      <c r="Y2" s="17" t="s">
        <v>52</v>
      </c>
    </row>
    <row r="3" spans="2:25" ht="16.5" thickTop="1" thickBot="1" x14ac:dyDescent="0.3">
      <c r="B3" s="34" t="s">
        <v>53</v>
      </c>
      <c r="C3" s="73" t="s">
        <v>54</v>
      </c>
      <c r="D3" s="74"/>
      <c r="E3" s="74"/>
      <c r="F3" s="75"/>
      <c r="G3" s="73" t="s">
        <v>55</v>
      </c>
      <c r="H3" s="74"/>
      <c r="I3" s="74"/>
      <c r="J3" s="75"/>
      <c r="U3" s="51" t="s">
        <v>53</v>
      </c>
      <c r="V3" s="11" t="s">
        <v>56</v>
      </c>
      <c r="W3" s="9" t="s">
        <v>57</v>
      </c>
      <c r="X3" s="9">
        <f>4*99</f>
        <v>396</v>
      </c>
      <c r="Y3" s="9">
        <f>X3*1000</f>
        <v>396000</v>
      </c>
    </row>
    <row r="4" spans="2:25" x14ac:dyDescent="0.25">
      <c r="B4" s="21" t="s">
        <v>58</v>
      </c>
      <c r="C4" s="23" t="s">
        <v>59</v>
      </c>
      <c r="D4" s="24" t="s">
        <v>60</v>
      </c>
      <c r="E4" s="23" t="s">
        <v>61</v>
      </c>
      <c r="F4" s="25" t="s">
        <v>62</v>
      </c>
      <c r="G4" s="23" t="s">
        <v>59</v>
      </c>
      <c r="H4" s="24" t="s">
        <v>60</v>
      </c>
      <c r="I4" s="30" t="s">
        <v>61</v>
      </c>
      <c r="J4" s="32" t="s">
        <v>62</v>
      </c>
      <c r="Q4" s="15"/>
      <c r="U4" s="50" t="s">
        <v>63</v>
      </c>
      <c r="V4" s="12" t="s">
        <v>64</v>
      </c>
      <c r="W4" s="8" t="s">
        <v>65</v>
      </c>
      <c r="X4" s="8">
        <f xml:space="preserve"> 2.7*59</f>
        <v>159.30000000000001</v>
      </c>
      <c r="Y4" s="8">
        <f t="shared" ref="Y4:Y6" si="0">X4*1000</f>
        <v>159300</v>
      </c>
    </row>
    <row r="5" spans="2:25" ht="15.75" thickBot="1" x14ac:dyDescent="0.3">
      <c r="B5" s="22" t="s">
        <v>66</v>
      </c>
      <c r="C5" s="18" t="s">
        <v>67</v>
      </c>
      <c r="D5" s="19" t="s">
        <v>67</v>
      </c>
      <c r="E5" s="18" t="s">
        <v>67</v>
      </c>
      <c r="F5" s="20" t="s">
        <v>67</v>
      </c>
      <c r="G5" s="18" t="s">
        <v>67</v>
      </c>
      <c r="H5" s="19" t="s">
        <v>67</v>
      </c>
      <c r="I5" s="31" t="s">
        <v>67</v>
      </c>
      <c r="J5" s="33" t="s">
        <v>67</v>
      </c>
      <c r="Q5" s="15"/>
      <c r="U5" s="50" t="s">
        <v>47</v>
      </c>
      <c r="V5" s="12" t="s">
        <v>68</v>
      </c>
      <c r="W5" s="8" t="s">
        <v>69</v>
      </c>
      <c r="X5" s="8">
        <f>1.6*31</f>
        <v>49.6</v>
      </c>
      <c r="Y5" s="8">
        <f t="shared" si="0"/>
        <v>49600</v>
      </c>
    </row>
    <row r="6" spans="2:25" ht="15.75" thickBot="1" x14ac:dyDescent="0.3">
      <c r="B6" s="28">
        <v>0</v>
      </c>
      <c r="C6" s="27">
        <v>0</v>
      </c>
      <c r="D6" s="26">
        <v>0</v>
      </c>
      <c r="E6" s="27">
        <v>0</v>
      </c>
      <c r="F6" s="10">
        <f>AVERAGE(C6:E6)</f>
        <v>0</v>
      </c>
      <c r="G6" s="27">
        <v>0</v>
      </c>
      <c r="H6" s="26">
        <v>0</v>
      </c>
      <c r="I6" s="27">
        <v>0</v>
      </c>
      <c r="J6" s="10">
        <f>AVERAGE(G6:I6)</f>
        <v>0</v>
      </c>
      <c r="Q6" s="15"/>
      <c r="U6" s="50" t="s">
        <v>70</v>
      </c>
      <c r="V6" s="12" t="s">
        <v>71</v>
      </c>
      <c r="W6" s="8" t="s">
        <v>72</v>
      </c>
      <c r="X6" s="8">
        <v>42</v>
      </c>
      <c r="Y6" s="8">
        <f t="shared" si="0"/>
        <v>42000</v>
      </c>
    </row>
    <row r="7" spans="2:25" ht="15.75" thickBot="1" x14ac:dyDescent="0.3">
      <c r="B7" s="29">
        <v>25</v>
      </c>
      <c r="C7" s="12">
        <v>313</v>
      </c>
      <c r="D7" s="8">
        <v>228</v>
      </c>
      <c r="E7" s="12">
        <v>203</v>
      </c>
      <c r="F7" s="10">
        <f>AVERAGE(C7:E7)</f>
        <v>248</v>
      </c>
      <c r="G7" s="12">
        <v>321</v>
      </c>
      <c r="H7" s="8">
        <v>336</v>
      </c>
      <c r="I7" s="12">
        <v>312</v>
      </c>
      <c r="J7" s="10">
        <f>AVERAGE(G7:I7)</f>
        <v>323</v>
      </c>
      <c r="Q7" s="15"/>
    </row>
    <row r="8" spans="2:25" ht="15.75" thickBot="1" x14ac:dyDescent="0.3">
      <c r="B8" s="29">
        <v>50</v>
      </c>
      <c r="C8" s="12">
        <v>246</v>
      </c>
      <c r="D8" s="8">
        <v>170</v>
      </c>
      <c r="E8" s="12">
        <v>175</v>
      </c>
      <c r="F8" s="10">
        <f>AVERAGE(C8:E8)</f>
        <v>197</v>
      </c>
      <c r="G8" s="12">
        <v>323</v>
      </c>
      <c r="H8" s="8" t="s">
        <v>73</v>
      </c>
      <c r="I8" s="12">
        <v>258</v>
      </c>
      <c r="J8" s="10">
        <f>AVERAGE(G8:I8)</f>
        <v>290.5</v>
      </c>
    </row>
    <row r="9" spans="2:25" ht="15.75" thickBot="1" x14ac:dyDescent="0.3">
      <c r="B9" s="29">
        <v>75</v>
      </c>
      <c r="C9" s="12">
        <v>217</v>
      </c>
      <c r="D9" s="8">
        <v>200</v>
      </c>
      <c r="E9" s="12">
        <v>136</v>
      </c>
      <c r="F9" s="10">
        <f>AVERAGE(C9:E9)</f>
        <v>184.33333333333334</v>
      </c>
      <c r="G9" s="12">
        <v>323</v>
      </c>
      <c r="H9" s="8">
        <v>345</v>
      </c>
      <c r="I9" s="12">
        <v>288</v>
      </c>
      <c r="J9" s="10">
        <f>AVERAGE(G9:I9)</f>
        <v>318.66666666666669</v>
      </c>
    </row>
    <row r="10" spans="2:25" ht="15.75" thickBot="1" x14ac:dyDescent="0.3">
      <c r="B10" s="29">
        <v>100</v>
      </c>
      <c r="C10" s="12">
        <v>273</v>
      </c>
      <c r="D10" s="8">
        <v>240</v>
      </c>
      <c r="E10" s="12">
        <v>235</v>
      </c>
      <c r="F10" s="10">
        <f>AVERAGE(C10:E10)</f>
        <v>249.33333333333334</v>
      </c>
      <c r="G10" s="12">
        <v>314</v>
      </c>
      <c r="H10" s="8">
        <v>299</v>
      </c>
      <c r="I10" s="12">
        <v>309</v>
      </c>
      <c r="J10" s="10">
        <f>AVERAGE(G10:I10)</f>
        <v>307.33333333333331</v>
      </c>
      <c r="O10" s="66" t="s">
        <v>74</v>
      </c>
      <c r="P10" s="66" t="s">
        <v>75</v>
      </c>
    </row>
    <row r="11" spans="2:25" ht="15.75" thickBot="1" x14ac:dyDescent="0.3">
      <c r="B11" s="10" t="s">
        <v>76</v>
      </c>
      <c r="C11" s="10">
        <f>AVERAGE(C7:C10)</f>
        <v>262.25</v>
      </c>
      <c r="D11" s="10">
        <f t="shared" ref="D11:E11" si="1">AVERAGE(D7:D10)</f>
        <v>209.5</v>
      </c>
      <c r="E11" s="10">
        <f t="shared" si="1"/>
        <v>187.25</v>
      </c>
      <c r="F11" s="10">
        <f>AVERAGE((F7:F10),C11:E11)</f>
        <v>219.66666666666669</v>
      </c>
      <c r="G11" s="10">
        <f t="shared" ref="G11:I11" si="2">AVERAGE(G7:G10)</f>
        <v>320.25</v>
      </c>
      <c r="H11" s="10">
        <f t="shared" si="2"/>
        <v>326.66666666666669</v>
      </c>
      <c r="I11" s="10">
        <f t="shared" si="2"/>
        <v>291.75</v>
      </c>
      <c r="J11" s="10">
        <f>AVERAGE((J7:J10),(G11:I11))</f>
        <v>311.16666666666669</v>
      </c>
      <c r="L11" s="76" t="s">
        <v>77</v>
      </c>
      <c r="M11" s="76"/>
      <c r="N11" s="76"/>
      <c r="O11" s="65">
        <f>1/(F11/25)/1000</f>
        <v>1.1380880121396054E-4</v>
      </c>
      <c r="P11" s="8">
        <f>O11*3600</f>
        <v>0.40971168437025796</v>
      </c>
      <c r="S11" s="77" t="s">
        <v>78</v>
      </c>
      <c r="T11" s="78"/>
      <c r="W11" s="77" t="s">
        <v>79</v>
      </c>
      <c r="X11" s="78"/>
    </row>
    <row r="12" spans="2:25" ht="15.75" thickBot="1" x14ac:dyDescent="0.3">
      <c r="L12" s="76" t="s">
        <v>80</v>
      </c>
      <c r="M12" s="76"/>
      <c r="N12" s="76"/>
      <c r="O12" s="65">
        <f>1/(J11/25)/1000</f>
        <v>8.0342795929298338E-5</v>
      </c>
      <c r="P12" s="8">
        <f>O12*3600</f>
        <v>0.28923406534547402</v>
      </c>
      <c r="R12" s="42"/>
      <c r="S12" s="41" t="s">
        <v>81</v>
      </c>
      <c r="T12" s="40" t="s">
        <v>82</v>
      </c>
      <c r="V12" s="42"/>
      <c r="W12" s="41" t="s">
        <v>81</v>
      </c>
      <c r="X12" s="40" t="s">
        <v>82</v>
      </c>
    </row>
    <row r="13" spans="2:25" ht="16.5" thickTop="1" thickBot="1" x14ac:dyDescent="0.3">
      <c r="B13" s="34" t="s">
        <v>63</v>
      </c>
      <c r="C13" s="73" t="s">
        <v>54</v>
      </c>
      <c r="D13" s="74"/>
      <c r="E13" s="74"/>
      <c r="F13" s="75"/>
      <c r="G13" s="73" t="s">
        <v>55</v>
      </c>
      <c r="H13" s="74"/>
      <c r="I13" s="74"/>
      <c r="J13" s="75"/>
      <c r="R13" s="43" t="s">
        <v>45</v>
      </c>
      <c r="S13" s="38">
        <v>1.13808801213961E-4</v>
      </c>
      <c r="T13" s="39">
        <v>8.0342795929298338E-5</v>
      </c>
      <c r="V13" s="43" t="s">
        <v>45</v>
      </c>
      <c r="W13" s="45">
        <f>Y3/S13</f>
        <v>3479519999.9999862</v>
      </c>
      <c r="X13" s="45">
        <f>Y3/T13</f>
        <v>4928880000</v>
      </c>
    </row>
    <row r="14" spans="2:25" x14ac:dyDescent="0.25">
      <c r="B14" s="21" t="s">
        <v>58</v>
      </c>
      <c r="C14" s="23" t="s">
        <v>59</v>
      </c>
      <c r="D14" s="24" t="s">
        <v>60</v>
      </c>
      <c r="E14" s="23" t="s">
        <v>61</v>
      </c>
      <c r="F14" s="25" t="s">
        <v>62</v>
      </c>
      <c r="G14" s="23" t="s">
        <v>59</v>
      </c>
      <c r="H14" s="24" t="s">
        <v>60</v>
      </c>
      <c r="I14" s="30" t="s">
        <v>61</v>
      </c>
      <c r="J14" s="32" t="s">
        <v>62</v>
      </c>
      <c r="L14" s="35"/>
      <c r="R14" s="3" t="s">
        <v>63</v>
      </c>
      <c r="S14" s="37">
        <v>9.285051067780875E-5</v>
      </c>
      <c r="T14" s="36">
        <v>6.370779358674877E-5</v>
      </c>
      <c r="V14" s="3" t="s">
        <v>63</v>
      </c>
      <c r="W14" s="45">
        <f>Y4/S14</f>
        <v>1715660999.9999995</v>
      </c>
      <c r="X14" s="45">
        <f>Y4/T14</f>
        <v>2500479000.0000005</v>
      </c>
    </row>
    <row r="15" spans="2:25" ht="15.75" thickBot="1" x14ac:dyDescent="0.3">
      <c r="B15" s="22" t="s">
        <v>66</v>
      </c>
      <c r="C15" s="18" t="s">
        <v>67</v>
      </c>
      <c r="D15" s="19" t="s">
        <v>67</v>
      </c>
      <c r="E15" s="18" t="s">
        <v>67</v>
      </c>
      <c r="F15" s="20" t="s">
        <v>67</v>
      </c>
      <c r="G15" s="18" t="s">
        <v>67</v>
      </c>
      <c r="H15" s="19" t="s">
        <v>67</v>
      </c>
      <c r="I15" s="31" t="s">
        <v>67</v>
      </c>
      <c r="J15" s="33" t="s">
        <v>67</v>
      </c>
      <c r="R15" s="3" t="s">
        <v>47</v>
      </c>
      <c r="S15" s="37">
        <v>2.2918258212375862E-4</v>
      </c>
      <c r="T15" s="36">
        <v>1.3692377909630305E-4</v>
      </c>
      <c r="V15" s="3" t="s">
        <v>47</v>
      </c>
      <c r="W15" s="45">
        <f>Y5/S15</f>
        <v>216421333.33333331</v>
      </c>
      <c r="X15" s="45">
        <f>Y5/T15</f>
        <v>362245333.33333337</v>
      </c>
    </row>
    <row r="16" spans="2:25" ht="15.75" thickBot="1" x14ac:dyDescent="0.3">
      <c r="B16" s="28">
        <v>0</v>
      </c>
      <c r="C16" s="27">
        <v>0</v>
      </c>
      <c r="D16" s="26">
        <v>0</v>
      </c>
      <c r="E16" s="27">
        <v>0</v>
      </c>
      <c r="F16" s="10">
        <f>AVERAGE(C16:E16)</f>
        <v>0</v>
      </c>
      <c r="G16" s="27">
        <v>0</v>
      </c>
      <c r="H16" s="26">
        <v>0</v>
      </c>
      <c r="I16" s="27">
        <v>0</v>
      </c>
      <c r="J16" s="10">
        <f>AVERAGE(G16:I16)</f>
        <v>0</v>
      </c>
      <c r="R16" s="3" t="s">
        <v>83</v>
      </c>
      <c r="S16" s="37">
        <v>2.7447392497712719E-4</v>
      </c>
      <c r="T16" s="36">
        <v>1.4655593551538836E-4</v>
      </c>
      <c r="V16" s="3" t="s">
        <v>83</v>
      </c>
      <c r="W16" s="45">
        <f>Y6/S16</f>
        <v>153020000</v>
      </c>
      <c r="X16" s="45">
        <f>Y6/T16</f>
        <v>286580000</v>
      </c>
    </row>
    <row r="17" spans="2:26" ht="15.75" thickBot="1" x14ac:dyDescent="0.3">
      <c r="B17" s="29">
        <v>25</v>
      </c>
      <c r="C17" s="12">
        <v>275</v>
      </c>
      <c r="D17" s="8">
        <v>310</v>
      </c>
      <c r="E17" s="12">
        <v>270</v>
      </c>
      <c r="F17" s="10">
        <f>AVERAGE(C17:E17)</f>
        <v>285</v>
      </c>
      <c r="G17" s="12">
        <v>422</v>
      </c>
      <c r="H17" s="8">
        <v>456</v>
      </c>
      <c r="I17" s="12">
        <v>382</v>
      </c>
      <c r="J17" s="10">
        <f>AVERAGE(G17:I17)</f>
        <v>420</v>
      </c>
    </row>
    <row r="18" spans="2:26" ht="15.75" thickBot="1" x14ac:dyDescent="0.3">
      <c r="B18" s="29">
        <v>50</v>
      </c>
      <c r="C18" s="12">
        <v>273</v>
      </c>
      <c r="D18" s="8">
        <v>306</v>
      </c>
      <c r="E18" s="12">
        <v>217</v>
      </c>
      <c r="F18" s="10">
        <f>AVERAGE(C18:E18)</f>
        <v>265.33333333333331</v>
      </c>
      <c r="G18" s="12">
        <v>346</v>
      </c>
      <c r="H18" s="8">
        <v>350</v>
      </c>
      <c r="I18" s="12">
        <v>403</v>
      </c>
      <c r="J18" s="10">
        <f>AVERAGE(G18:I18)</f>
        <v>366.33333333333331</v>
      </c>
      <c r="W18" s="77" t="s">
        <v>84</v>
      </c>
      <c r="X18" s="78"/>
    </row>
    <row r="19" spans="2:26" ht="15.75" thickBot="1" x14ac:dyDescent="0.3">
      <c r="B19" s="29">
        <v>75</v>
      </c>
      <c r="C19" s="12">
        <v>284</v>
      </c>
      <c r="D19" s="8">
        <v>210</v>
      </c>
      <c r="E19" s="12">
        <v>284</v>
      </c>
      <c r="F19" s="10">
        <f>AVERAGE(C19:E19)</f>
        <v>259.33333333333331</v>
      </c>
      <c r="G19" s="12">
        <v>403</v>
      </c>
      <c r="H19" s="8">
        <v>357</v>
      </c>
      <c r="I19" s="12">
        <v>439</v>
      </c>
      <c r="J19" s="10">
        <f>AVERAGE(G19:I19)</f>
        <v>399.66666666666669</v>
      </c>
      <c r="V19" s="42"/>
      <c r="W19" s="41" t="s">
        <v>81</v>
      </c>
      <c r="X19" s="40" t="s">
        <v>82</v>
      </c>
    </row>
    <row r="20" spans="2:26" ht="16.5" thickTop="1" thickBot="1" x14ac:dyDescent="0.3">
      <c r="B20" s="29">
        <v>100</v>
      </c>
      <c r="C20" s="12">
        <v>289</v>
      </c>
      <c r="D20" s="8">
        <v>260</v>
      </c>
      <c r="E20" s="12">
        <v>253</v>
      </c>
      <c r="F20" s="10">
        <f>AVERAGE(C20:E20)</f>
        <v>267.33333333333331</v>
      </c>
      <c r="G20" s="12">
        <v>393</v>
      </c>
      <c r="H20" s="8">
        <v>352</v>
      </c>
      <c r="I20" s="12">
        <v>406</v>
      </c>
      <c r="J20" s="10">
        <f>AVERAGE(G20:I20)</f>
        <v>383.66666666666669</v>
      </c>
      <c r="O20" s="66" t="s">
        <v>74</v>
      </c>
      <c r="P20" s="66" t="s">
        <v>75</v>
      </c>
      <c r="S20" s="77" t="s">
        <v>85</v>
      </c>
      <c r="T20" s="78"/>
      <c r="V20" s="43" t="s">
        <v>45</v>
      </c>
      <c r="W20" s="45">
        <f>W13/3600</f>
        <v>966533.33333332953</v>
      </c>
      <c r="X20" s="45">
        <f>X13/3600</f>
        <v>1369133.3333333333</v>
      </c>
    </row>
    <row r="21" spans="2:26" ht="15.75" thickBot="1" x14ac:dyDescent="0.3">
      <c r="B21" s="10" t="s">
        <v>76</v>
      </c>
      <c r="C21" s="10">
        <f>AVERAGE(C17:C20)</f>
        <v>280.25</v>
      </c>
      <c r="D21" s="10">
        <f t="shared" ref="D21" si="3">AVERAGE(D17:D20)</f>
        <v>271.5</v>
      </c>
      <c r="E21" s="10">
        <f t="shared" ref="E21" si="4">AVERAGE(E17:E20)</f>
        <v>256</v>
      </c>
      <c r="F21" s="10">
        <f>AVERAGE((F17:F20),C21:E21)</f>
        <v>269.24999999999994</v>
      </c>
      <c r="G21" s="10">
        <f t="shared" ref="G21" si="5">AVERAGE(G17:G20)</f>
        <v>391</v>
      </c>
      <c r="H21" s="10">
        <f t="shared" ref="H21" si="6">AVERAGE(H17:H20)</f>
        <v>378.75</v>
      </c>
      <c r="I21" s="10">
        <f t="shared" ref="I21" si="7">AVERAGE(I17:I20)</f>
        <v>407.5</v>
      </c>
      <c r="J21" s="10">
        <f t="shared" ref="J21" si="8">AVERAGE(J17:J20)</f>
        <v>392.41666666666669</v>
      </c>
      <c r="L21" s="76" t="s">
        <v>77</v>
      </c>
      <c r="M21" s="76"/>
      <c r="N21" s="76"/>
      <c r="O21" s="65">
        <f>1/(F21/25)/1000</f>
        <v>9.285051067780875E-5</v>
      </c>
      <c r="P21" s="8">
        <f t="shared" ref="P21:P32" si="9">O21*3600</f>
        <v>0.33426183844011148</v>
      </c>
      <c r="R21" s="42"/>
      <c r="S21" s="41" t="s">
        <v>81</v>
      </c>
      <c r="T21" s="40" t="s">
        <v>82</v>
      </c>
      <c r="V21" s="3" t="s">
        <v>63</v>
      </c>
      <c r="W21" s="45">
        <f t="shared" ref="W21:X23" si="10">W14/3600</f>
        <v>476572.49999999988</v>
      </c>
      <c r="X21" s="45">
        <f t="shared" si="10"/>
        <v>694577.50000000012</v>
      </c>
    </row>
    <row r="22" spans="2:26" ht="16.5" thickTop="1" thickBot="1" x14ac:dyDescent="0.3">
      <c r="L22" s="76" t="s">
        <v>80</v>
      </c>
      <c r="M22" s="76"/>
      <c r="N22" s="76"/>
      <c r="O22" s="65">
        <f>1/(J21/25)/1000</f>
        <v>6.370779358674877E-5</v>
      </c>
      <c r="P22" s="8">
        <f t="shared" si="9"/>
        <v>0.22934805691229557</v>
      </c>
      <c r="R22" s="43" t="s">
        <v>45</v>
      </c>
      <c r="S22" s="64">
        <f t="shared" ref="S22:T25" si="11">S13*(3600)</f>
        <v>0.40971168437025962</v>
      </c>
      <c r="T22" s="64">
        <f t="shared" si="11"/>
        <v>0.28923406534547402</v>
      </c>
      <c r="V22" s="3" t="s">
        <v>47</v>
      </c>
      <c r="W22" s="45">
        <f t="shared" si="10"/>
        <v>60117.037037037029</v>
      </c>
      <c r="X22" s="45">
        <f t="shared" si="10"/>
        <v>100623.70370370371</v>
      </c>
    </row>
    <row r="23" spans="2:26" ht="15.75" thickBot="1" x14ac:dyDescent="0.3">
      <c r="B23" s="34" t="s">
        <v>47</v>
      </c>
      <c r="C23" s="73" t="s">
        <v>54</v>
      </c>
      <c r="D23" s="74"/>
      <c r="E23" s="74"/>
      <c r="F23" s="75"/>
      <c r="G23" s="73" t="s">
        <v>55</v>
      </c>
      <c r="H23" s="74"/>
      <c r="I23" s="74"/>
      <c r="J23" s="75"/>
      <c r="R23" s="3" t="s">
        <v>63</v>
      </c>
      <c r="S23" s="64">
        <f t="shared" si="11"/>
        <v>0.33426183844011148</v>
      </c>
      <c r="T23" s="64">
        <f t="shared" si="11"/>
        <v>0.22934805691229557</v>
      </c>
      <c r="V23" s="3" t="s">
        <v>83</v>
      </c>
      <c r="W23" s="45">
        <f t="shared" si="10"/>
        <v>42505.555555555555</v>
      </c>
      <c r="X23" s="45">
        <f t="shared" si="10"/>
        <v>79605.555555555562</v>
      </c>
      <c r="Z23" s="58"/>
    </row>
    <row r="24" spans="2:26" x14ac:dyDescent="0.25">
      <c r="B24" s="21" t="s">
        <v>58</v>
      </c>
      <c r="C24" s="23" t="s">
        <v>59</v>
      </c>
      <c r="D24" s="24" t="s">
        <v>60</v>
      </c>
      <c r="E24" s="23" t="s">
        <v>61</v>
      </c>
      <c r="F24" s="25" t="s">
        <v>62</v>
      </c>
      <c r="G24" s="23" t="s">
        <v>59</v>
      </c>
      <c r="H24" s="24" t="s">
        <v>60</v>
      </c>
      <c r="I24" s="30" t="s">
        <v>61</v>
      </c>
      <c r="J24" s="32" t="s">
        <v>62</v>
      </c>
      <c r="R24" s="3" t="s">
        <v>47</v>
      </c>
      <c r="S24" s="64">
        <f t="shared" si="11"/>
        <v>0.8250572956455311</v>
      </c>
      <c r="T24" s="64">
        <f t="shared" si="11"/>
        <v>0.49292560474669095</v>
      </c>
    </row>
    <row r="25" spans="2:26" ht="15.75" thickBot="1" x14ac:dyDescent="0.3">
      <c r="B25" s="22" t="s">
        <v>66</v>
      </c>
      <c r="C25" s="18" t="s">
        <v>67</v>
      </c>
      <c r="D25" s="19" t="s">
        <v>67</v>
      </c>
      <c r="E25" s="18" t="s">
        <v>67</v>
      </c>
      <c r="F25" s="20" t="s">
        <v>67</v>
      </c>
      <c r="G25" s="18" t="s">
        <v>67</v>
      </c>
      <c r="H25" s="19" t="s">
        <v>67</v>
      </c>
      <c r="I25" s="31" t="s">
        <v>67</v>
      </c>
      <c r="J25" s="33" t="s">
        <v>67</v>
      </c>
      <c r="R25" s="3" t="s">
        <v>83</v>
      </c>
      <c r="S25" s="64">
        <f t="shared" si="11"/>
        <v>0.98810612991765789</v>
      </c>
      <c r="T25" s="64">
        <f t="shared" si="11"/>
        <v>0.52760136785539813</v>
      </c>
      <c r="W25" s="77" t="s">
        <v>86</v>
      </c>
      <c r="X25" s="78"/>
    </row>
    <row r="26" spans="2:26" ht="15.75" thickBot="1" x14ac:dyDescent="0.3">
      <c r="B26" s="28">
        <v>0</v>
      </c>
      <c r="C26" s="27">
        <v>0</v>
      </c>
      <c r="D26" s="26">
        <v>0</v>
      </c>
      <c r="E26" s="27">
        <v>0</v>
      </c>
      <c r="F26" s="10">
        <f>AVERAGE(C26:E26)</f>
        <v>0</v>
      </c>
      <c r="G26" s="27">
        <v>0</v>
      </c>
      <c r="H26" s="26">
        <v>0</v>
      </c>
      <c r="I26" s="27">
        <v>0</v>
      </c>
      <c r="J26" s="10">
        <f>AVERAGE(G26:I26)</f>
        <v>0</v>
      </c>
      <c r="V26" s="42"/>
      <c r="W26" s="41" t="s">
        <v>81</v>
      </c>
      <c r="X26" s="40" t="s">
        <v>82</v>
      </c>
    </row>
    <row r="27" spans="2:26" ht="16.5" thickTop="1" thickBot="1" x14ac:dyDescent="0.3">
      <c r="B27" s="29">
        <v>25</v>
      </c>
      <c r="C27" s="12">
        <v>110</v>
      </c>
      <c r="D27" s="8">
        <v>127</v>
      </c>
      <c r="E27" s="12">
        <v>113</v>
      </c>
      <c r="F27" s="10">
        <f>AVERAGE(C27:E27)</f>
        <v>116.66666666666667</v>
      </c>
      <c r="G27" s="12">
        <v>169</v>
      </c>
      <c r="H27" s="8">
        <v>188</v>
      </c>
      <c r="I27" s="12">
        <v>199</v>
      </c>
      <c r="J27" s="10">
        <f>AVERAGE(G27:I27)</f>
        <v>185.33333333333334</v>
      </c>
      <c r="V27" s="43" t="s">
        <v>45</v>
      </c>
      <c r="W27" s="45">
        <f>W20/(24*365)</f>
        <v>110.33485540334812</v>
      </c>
      <c r="X27" s="45">
        <f>X20/(24*365)</f>
        <v>156.29375951293758</v>
      </c>
    </row>
    <row r="28" spans="2:26" ht="15.75" thickBot="1" x14ac:dyDescent="0.3">
      <c r="B28" s="29">
        <v>50</v>
      </c>
      <c r="C28" s="12">
        <v>100</v>
      </c>
      <c r="D28" s="8">
        <v>126</v>
      </c>
      <c r="E28" s="12">
        <v>119</v>
      </c>
      <c r="F28" s="10">
        <f>AVERAGE(C28:E28)</f>
        <v>115</v>
      </c>
      <c r="G28" s="12">
        <v>198</v>
      </c>
      <c r="H28" s="8">
        <v>201</v>
      </c>
      <c r="I28" s="12">
        <v>182</v>
      </c>
      <c r="J28" s="10">
        <f>AVERAGE(G28:I28)</f>
        <v>193.66666666666666</v>
      </c>
      <c r="V28" s="3" t="s">
        <v>63</v>
      </c>
      <c r="W28" s="45">
        <f t="shared" ref="W28:X30" si="12">W21/(24*365)</f>
        <v>54.403253424657521</v>
      </c>
      <c r="X28" s="45">
        <f t="shared" si="12"/>
        <v>79.289668949771709</v>
      </c>
    </row>
    <row r="29" spans="2:26" ht="15.75" thickBot="1" x14ac:dyDescent="0.3">
      <c r="B29" s="29">
        <v>75</v>
      </c>
      <c r="C29" s="12">
        <v>105</v>
      </c>
      <c r="D29" s="8">
        <v>95</v>
      </c>
      <c r="E29" s="12">
        <v>101</v>
      </c>
      <c r="F29" s="10">
        <f>AVERAGE(C29:E29)</f>
        <v>100.33333333333333</v>
      </c>
      <c r="G29" s="12">
        <v>181</v>
      </c>
      <c r="H29" s="8">
        <v>186</v>
      </c>
      <c r="I29" s="12">
        <v>152</v>
      </c>
      <c r="J29" s="10">
        <f>AVERAGE(G29:I29)</f>
        <v>173</v>
      </c>
      <c r="V29" s="3" t="s">
        <v>47</v>
      </c>
      <c r="W29" s="45">
        <f t="shared" si="12"/>
        <v>6.8626754608489762</v>
      </c>
      <c r="X29" s="45">
        <f t="shared" si="12"/>
        <v>11.486724167089465</v>
      </c>
    </row>
    <row r="30" spans="2:26" ht="15.75" thickBot="1" x14ac:dyDescent="0.3">
      <c r="B30" s="29">
        <v>100</v>
      </c>
      <c r="C30" s="12">
        <v>111</v>
      </c>
      <c r="D30" s="8">
        <v>100</v>
      </c>
      <c r="E30" s="12">
        <v>102</v>
      </c>
      <c r="F30" s="10">
        <f>AVERAGE(C30:E30)</f>
        <v>104.33333333333333</v>
      </c>
      <c r="G30" s="12">
        <v>179</v>
      </c>
      <c r="H30" s="8">
        <v>175</v>
      </c>
      <c r="I30" s="12">
        <v>181</v>
      </c>
      <c r="J30" s="10">
        <f>AVERAGE(G30:I30)</f>
        <v>178.33333333333334</v>
      </c>
      <c r="O30" s="66" t="s">
        <v>74</v>
      </c>
      <c r="P30" s="66" t="s">
        <v>75</v>
      </c>
      <c r="V30" s="3" t="s">
        <v>83</v>
      </c>
      <c r="W30" s="45">
        <f t="shared" si="12"/>
        <v>4.852232369355657</v>
      </c>
      <c r="X30" s="45">
        <f t="shared" si="12"/>
        <v>9.0873921867072553</v>
      </c>
    </row>
    <row r="31" spans="2:26" ht="15.75" thickBot="1" x14ac:dyDescent="0.3">
      <c r="B31" s="10" t="s">
        <v>76</v>
      </c>
      <c r="C31" s="10">
        <f>AVERAGE(C27:C30)</f>
        <v>106.5</v>
      </c>
      <c r="D31" s="10">
        <f t="shared" ref="D31:E31" si="13">AVERAGE(D27:D30)</f>
        <v>112</v>
      </c>
      <c r="E31" s="10">
        <f t="shared" si="13"/>
        <v>108.75</v>
      </c>
      <c r="F31" s="10">
        <f>AVERAGE((F27:F30),C31:E31)</f>
        <v>109.08333333333333</v>
      </c>
      <c r="G31" s="10">
        <f t="shared" ref="G31:J31" si="14">AVERAGE(G27:G30)</f>
        <v>181.75</v>
      </c>
      <c r="H31" s="10">
        <f t="shared" si="14"/>
        <v>187.5</v>
      </c>
      <c r="I31" s="10">
        <f t="shared" si="14"/>
        <v>178.5</v>
      </c>
      <c r="J31" s="10">
        <f t="shared" si="14"/>
        <v>182.58333333333334</v>
      </c>
      <c r="L31" s="76" t="s">
        <v>77</v>
      </c>
      <c r="M31" s="76"/>
      <c r="N31" s="76"/>
      <c r="O31" s="65">
        <f>1/(F31/25)/1000</f>
        <v>2.2918258212375862E-4</v>
      </c>
      <c r="P31" s="8">
        <f t="shared" si="9"/>
        <v>0.8250572956455311</v>
      </c>
      <c r="V31" s="3" t="s">
        <v>87</v>
      </c>
      <c r="W31" s="45">
        <f>SUM(W27:W30)</f>
        <v>176.45301665821026</v>
      </c>
      <c r="X31" s="45">
        <f>SUM(X27:X30)</f>
        <v>256.157544816506</v>
      </c>
    </row>
    <row r="32" spans="2:26" ht="15.75" thickBot="1" x14ac:dyDescent="0.3">
      <c r="L32" s="76" t="s">
        <v>80</v>
      </c>
      <c r="M32" s="76"/>
      <c r="N32" s="76"/>
      <c r="O32" s="65">
        <f>1/(J31/25)/1000</f>
        <v>1.3692377909630305E-4</v>
      </c>
      <c r="P32" s="8">
        <f t="shared" si="9"/>
        <v>0.49292560474669095</v>
      </c>
    </row>
    <row r="33" spans="2:24" ht="15.75" thickBot="1" x14ac:dyDescent="0.3">
      <c r="B33" s="34" t="s">
        <v>88</v>
      </c>
      <c r="C33" s="73" t="s">
        <v>54</v>
      </c>
      <c r="D33" s="74"/>
      <c r="E33" s="74"/>
      <c r="F33" s="75"/>
      <c r="G33" s="73" t="s">
        <v>55</v>
      </c>
      <c r="H33" s="74"/>
      <c r="I33" s="74"/>
      <c r="J33" s="75"/>
    </row>
    <row r="34" spans="2:24" x14ac:dyDescent="0.25">
      <c r="B34" s="21" t="s">
        <v>58</v>
      </c>
      <c r="C34" s="23" t="s">
        <v>59</v>
      </c>
      <c r="D34" s="24" t="s">
        <v>60</v>
      </c>
      <c r="E34" s="23" t="s">
        <v>61</v>
      </c>
      <c r="F34" s="25" t="s">
        <v>62</v>
      </c>
      <c r="G34" s="23" t="s">
        <v>59</v>
      </c>
      <c r="H34" s="24" t="s">
        <v>60</v>
      </c>
      <c r="I34" s="30" t="s">
        <v>61</v>
      </c>
      <c r="J34" s="32" t="s">
        <v>62</v>
      </c>
    </row>
    <row r="35" spans="2:24" ht="15.75" thickBot="1" x14ac:dyDescent="0.3">
      <c r="B35" s="22" t="s">
        <v>66</v>
      </c>
      <c r="C35" s="18" t="s">
        <v>67</v>
      </c>
      <c r="D35" s="19" t="s">
        <v>67</v>
      </c>
      <c r="E35" s="18" t="s">
        <v>67</v>
      </c>
      <c r="F35" s="20" t="s">
        <v>67</v>
      </c>
      <c r="G35" s="18" t="s">
        <v>67</v>
      </c>
      <c r="H35" s="19" t="s">
        <v>67</v>
      </c>
      <c r="I35" s="31" t="s">
        <v>67</v>
      </c>
      <c r="J35" s="33" t="s">
        <v>67</v>
      </c>
      <c r="U35" s="79" t="s">
        <v>89</v>
      </c>
      <c r="V35" s="80"/>
      <c r="W35" s="81" t="s">
        <v>86</v>
      </c>
      <c r="X35" s="78"/>
    </row>
    <row r="36" spans="2:24" ht="16.5" thickTop="1" thickBot="1" x14ac:dyDescent="0.3">
      <c r="B36" s="28">
        <v>0</v>
      </c>
      <c r="C36" s="27">
        <v>0</v>
      </c>
      <c r="D36" s="26">
        <v>0</v>
      </c>
      <c r="E36" s="27">
        <v>0</v>
      </c>
      <c r="F36" s="10">
        <f>AVERAGE(C36:E36)</f>
        <v>0</v>
      </c>
      <c r="G36" s="27">
        <v>0</v>
      </c>
      <c r="H36" s="26">
        <v>0</v>
      </c>
      <c r="I36" s="27">
        <v>0</v>
      </c>
      <c r="J36" s="10">
        <f>AVERAGE(G36:I36)</f>
        <v>0</v>
      </c>
      <c r="V36" s="43" t="s">
        <v>45</v>
      </c>
      <c r="W36" s="88">
        <f>(Y3/(100))/(24*365)</f>
        <v>0.45205479452054792</v>
      </c>
      <c r="X36" s="89"/>
    </row>
    <row r="37" spans="2:24" ht="15.75" thickBot="1" x14ac:dyDescent="0.3">
      <c r="B37" s="29">
        <v>25</v>
      </c>
      <c r="C37" s="12">
        <v>83</v>
      </c>
      <c r="D37" s="8">
        <v>118</v>
      </c>
      <c r="E37" s="12">
        <v>85</v>
      </c>
      <c r="F37" s="10">
        <f>AVERAGE(C37:E37)</f>
        <v>95.333333333333329</v>
      </c>
      <c r="G37" s="12">
        <v>184</v>
      </c>
      <c r="H37" s="8">
        <v>178</v>
      </c>
      <c r="I37" s="12">
        <v>186</v>
      </c>
      <c r="J37" s="10">
        <f>AVERAGE(G37:I37)</f>
        <v>182.66666666666666</v>
      </c>
      <c r="V37" s="3" t="s">
        <v>63</v>
      </c>
      <c r="W37" s="86">
        <f t="shared" ref="W37:W38" si="15">(Y4/(100))/(24*365)</f>
        <v>0.18184931506849314</v>
      </c>
      <c r="X37" s="87"/>
    </row>
    <row r="38" spans="2:24" ht="15.75" thickBot="1" x14ac:dyDescent="0.3">
      <c r="B38" s="29">
        <v>50</v>
      </c>
      <c r="C38" s="12">
        <v>83</v>
      </c>
      <c r="D38" s="8">
        <v>126</v>
      </c>
      <c r="E38" s="12">
        <v>103</v>
      </c>
      <c r="F38" s="10">
        <f>AVERAGE(C38:E38)</f>
        <v>104</v>
      </c>
      <c r="G38" s="12">
        <v>205</v>
      </c>
      <c r="H38" s="8">
        <v>160</v>
      </c>
      <c r="I38" s="12">
        <v>209</v>
      </c>
      <c r="J38" s="10">
        <f>AVERAGE(G38:I38)</f>
        <v>191.33333333333334</v>
      </c>
      <c r="V38" s="3" t="s">
        <v>47</v>
      </c>
      <c r="W38" s="86">
        <f t="shared" si="15"/>
        <v>5.6621004566210047E-2</v>
      </c>
      <c r="X38" s="87"/>
    </row>
    <row r="39" spans="2:24" ht="15.75" thickBot="1" x14ac:dyDescent="0.3">
      <c r="B39" s="29">
        <v>75</v>
      </c>
      <c r="C39" s="12">
        <v>83</v>
      </c>
      <c r="D39" s="8">
        <v>67</v>
      </c>
      <c r="E39" s="12">
        <v>99</v>
      </c>
      <c r="F39" s="10">
        <f>AVERAGE(C39:E39)</f>
        <v>83</v>
      </c>
      <c r="G39" s="12">
        <v>170</v>
      </c>
      <c r="H39" s="8">
        <v>159</v>
      </c>
      <c r="I39" s="12">
        <v>185</v>
      </c>
      <c r="J39" s="10">
        <f>AVERAGE(G39:I39)</f>
        <v>171.33333333333334</v>
      </c>
      <c r="V39" s="3" t="s">
        <v>83</v>
      </c>
      <c r="W39" s="84">
        <f>(Y6/(100))/(24*365)</f>
        <v>4.7945205479452052E-2</v>
      </c>
      <c r="X39" s="85"/>
    </row>
    <row r="40" spans="2:24" ht="15.75" thickBot="1" x14ac:dyDescent="0.3">
      <c r="B40" s="29">
        <v>100</v>
      </c>
      <c r="C40" s="12">
        <v>103</v>
      </c>
      <c r="D40" s="8">
        <v>65</v>
      </c>
      <c r="E40" s="12">
        <v>78</v>
      </c>
      <c r="F40" s="10">
        <f>AVERAGE(C40:E40)</f>
        <v>82</v>
      </c>
      <c r="G40" s="12">
        <v>139</v>
      </c>
      <c r="H40" s="8">
        <v>144</v>
      </c>
      <c r="I40" s="12">
        <v>128</v>
      </c>
      <c r="J40" s="10">
        <f>AVERAGE(G40:I40)</f>
        <v>137</v>
      </c>
      <c r="O40" s="66" t="s">
        <v>74</v>
      </c>
      <c r="P40" s="66" t="s">
        <v>75</v>
      </c>
      <c r="V40" s="3" t="s">
        <v>87</v>
      </c>
      <c r="W40" s="82">
        <f>SUM(W36:W39)</f>
        <v>0.73847031963470311</v>
      </c>
      <c r="X40" s="83"/>
    </row>
    <row r="41" spans="2:24" ht="15.75" thickBot="1" x14ac:dyDescent="0.3">
      <c r="B41" s="10" t="s">
        <v>76</v>
      </c>
      <c r="C41" s="10">
        <f>AVERAGE(C37:C40)</f>
        <v>88</v>
      </c>
      <c r="D41" s="10">
        <f t="shared" ref="D41:E41" si="16">AVERAGE(D37:D40)</f>
        <v>94</v>
      </c>
      <c r="E41" s="10">
        <f t="shared" si="16"/>
        <v>91.25</v>
      </c>
      <c r="F41" s="10">
        <f>AVERAGE((F37:F40),C41:E41)</f>
        <v>91.083333333333329</v>
      </c>
      <c r="G41" s="10">
        <f t="shared" ref="G41:J41" si="17">AVERAGE(G37:G40)</f>
        <v>174.5</v>
      </c>
      <c r="H41" s="10">
        <f t="shared" si="17"/>
        <v>160.25</v>
      </c>
      <c r="I41" s="10">
        <f t="shared" si="17"/>
        <v>177</v>
      </c>
      <c r="J41" s="10">
        <f t="shared" si="17"/>
        <v>170.58333333333334</v>
      </c>
      <c r="L41" s="76" t="s">
        <v>77</v>
      </c>
      <c r="M41" s="76"/>
      <c r="N41" s="76"/>
      <c r="O41" s="65">
        <f>1/(F41/25)/1000</f>
        <v>2.7447392497712719E-4</v>
      </c>
      <c r="P41" s="8">
        <f>O41*3600</f>
        <v>0.98810612991765789</v>
      </c>
    </row>
    <row r="42" spans="2:24" x14ac:dyDescent="0.25">
      <c r="L42" s="76" t="s">
        <v>80</v>
      </c>
      <c r="M42" s="76"/>
      <c r="N42" s="76"/>
      <c r="O42" s="65">
        <f>1/(J41/25)/1000</f>
        <v>1.4655593551538836E-4</v>
      </c>
      <c r="P42" s="8">
        <f>O42*3600</f>
        <v>0.52760136785539813</v>
      </c>
    </row>
  </sheetData>
  <mergeCells count="28">
    <mergeCell ref="U35:V35"/>
    <mergeCell ref="W35:X35"/>
    <mergeCell ref="W40:X40"/>
    <mergeCell ref="W39:X39"/>
    <mergeCell ref="W38:X38"/>
    <mergeCell ref="W37:X37"/>
    <mergeCell ref="W36:X36"/>
    <mergeCell ref="S11:T11"/>
    <mergeCell ref="W11:X11"/>
    <mergeCell ref="W18:X18"/>
    <mergeCell ref="W25:X25"/>
    <mergeCell ref="S20:T20"/>
    <mergeCell ref="L41:N41"/>
    <mergeCell ref="L42:N42"/>
    <mergeCell ref="L11:N11"/>
    <mergeCell ref="L12:N12"/>
    <mergeCell ref="C33:F33"/>
    <mergeCell ref="G33:J33"/>
    <mergeCell ref="L21:N21"/>
    <mergeCell ref="L22:N22"/>
    <mergeCell ref="L31:N31"/>
    <mergeCell ref="L32:N32"/>
    <mergeCell ref="C3:F3"/>
    <mergeCell ref="C13:F13"/>
    <mergeCell ref="G3:J3"/>
    <mergeCell ref="G13:J13"/>
    <mergeCell ref="G23:J23"/>
    <mergeCell ref="C23:F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D62EF-8F3B-4318-9B47-52FB3466620F}">
  <dimension ref="A1:S8"/>
  <sheetViews>
    <sheetView workbookViewId="0">
      <selection activeCell="P18" sqref="P18"/>
    </sheetView>
  </sheetViews>
  <sheetFormatPr defaultRowHeight="15" x14ac:dyDescent="0.25"/>
  <sheetData>
    <row r="1" spans="1:19" x14ac:dyDescent="0.25">
      <c r="A1" s="115"/>
      <c r="B1" s="115"/>
      <c r="C1" s="115"/>
      <c r="D1" s="115"/>
      <c r="E1" s="115"/>
      <c r="F1" s="115"/>
      <c r="G1" s="115"/>
    </row>
    <row r="2" spans="1:19" x14ac:dyDescent="0.25">
      <c r="A2" s="115"/>
      <c r="B2" s="115"/>
      <c r="C2" s="116"/>
      <c r="D2" s="116"/>
      <c r="E2" s="116"/>
      <c r="F2" s="116"/>
      <c r="G2" s="115"/>
    </row>
    <row r="3" spans="1:19" x14ac:dyDescent="0.25">
      <c r="A3" s="115"/>
      <c r="B3" s="116"/>
      <c r="C3" s="115"/>
      <c r="D3" s="115"/>
      <c r="E3" s="115"/>
      <c r="F3" s="115"/>
      <c r="G3" s="115"/>
    </row>
    <row r="4" spans="1:19" x14ac:dyDescent="0.25">
      <c r="A4" s="115"/>
      <c r="B4" s="116"/>
      <c r="C4" s="115"/>
      <c r="D4" s="115"/>
      <c r="E4" s="115"/>
      <c r="F4" s="115"/>
      <c r="G4" s="115"/>
      <c r="I4" s="8"/>
      <c r="J4" s="66" t="s">
        <v>49</v>
      </c>
      <c r="K4" s="66" t="s">
        <v>50</v>
      </c>
      <c r="L4" s="8"/>
      <c r="M4" s="8"/>
      <c r="N4" s="117"/>
      <c r="O4" s="8"/>
      <c r="P4" s="66" t="s">
        <v>51</v>
      </c>
      <c r="Q4" s="8"/>
      <c r="R4" s="66" t="s">
        <v>52</v>
      </c>
    </row>
    <row r="5" spans="1:19" x14ac:dyDescent="0.25">
      <c r="A5" s="115"/>
      <c r="B5" s="116"/>
      <c r="C5" s="115"/>
      <c r="D5" s="115"/>
      <c r="E5" s="115"/>
      <c r="F5" s="115"/>
      <c r="G5" s="115"/>
      <c r="I5" s="66" t="s">
        <v>53</v>
      </c>
      <c r="J5" s="8" t="s">
        <v>56</v>
      </c>
      <c r="K5" s="8" t="s">
        <v>57</v>
      </c>
      <c r="L5" s="118" t="s">
        <v>119</v>
      </c>
      <c r="M5" s="118"/>
      <c r="N5" s="118"/>
      <c r="O5" s="118"/>
      <c r="P5" s="8">
        <f>4*99</f>
        <v>396</v>
      </c>
      <c r="Q5" s="8"/>
      <c r="R5" s="8">
        <v>396000</v>
      </c>
      <c r="S5" s="16" t="s">
        <v>120</v>
      </c>
    </row>
    <row r="6" spans="1:19" x14ac:dyDescent="0.25">
      <c r="A6" s="115"/>
      <c r="B6" s="116"/>
      <c r="C6" s="115"/>
      <c r="D6" s="115"/>
      <c r="E6" s="115"/>
      <c r="F6" s="115"/>
      <c r="G6" s="115"/>
      <c r="I6" s="66" t="s">
        <v>63</v>
      </c>
      <c r="J6" s="8" t="s">
        <v>64</v>
      </c>
      <c r="K6" s="8" t="s">
        <v>65</v>
      </c>
      <c r="L6" s="118" t="s">
        <v>122</v>
      </c>
      <c r="M6" s="118"/>
      <c r="N6" s="118"/>
      <c r="O6" s="118"/>
      <c r="P6" s="8">
        <f xml:space="preserve"> 2.7*59</f>
        <v>159.30000000000001</v>
      </c>
      <c r="Q6" s="8"/>
      <c r="R6" s="8">
        <v>159300</v>
      </c>
      <c r="S6" s="16" t="s">
        <v>120</v>
      </c>
    </row>
    <row r="7" spans="1:19" x14ac:dyDescent="0.25">
      <c r="A7" s="115"/>
      <c r="B7" s="115"/>
      <c r="C7" s="115"/>
      <c r="D7" s="115"/>
      <c r="E7" s="115"/>
      <c r="F7" s="115"/>
      <c r="G7" s="115"/>
      <c r="I7" s="66" t="s">
        <v>47</v>
      </c>
      <c r="J7" s="8" t="s">
        <v>68</v>
      </c>
      <c r="K7" s="8" t="s">
        <v>69</v>
      </c>
      <c r="L7" s="119" t="s">
        <v>123</v>
      </c>
      <c r="M7" s="120"/>
      <c r="N7" s="120"/>
      <c r="O7" s="120"/>
      <c r="P7" s="8">
        <f>1.6*31</f>
        <v>49.6</v>
      </c>
      <c r="Q7" s="8"/>
      <c r="R7" s="8">
        <v>49600</v>
      </c>
      <c r="S7" t="s">
        <v>143</v>
      </c>
    </row>
    <row r="8" spans="1:19" x14ac:dyDescent="0.25">
      <c r="I8" s="66" t="s">
        <v>70</v>
      </c>
      <c r="J8" s="8" t="s">
        <v>71</v>
      </c>
      <c r="K8" s="8" t="s">
        <v>72</v>
      </c>
      <c r="L8" s="121" t="s">
        <v>126</v>
      </c>
      <c r="M8" s="121"/>
      <c r="N8" s="121"/>
      <c r="O8" s="121"/>
      <c r="P8" s="8">
        <v>42</v>
      </c>
      <c r="Q8" s="8"/>
      <c r="R8" s="8">
        <v>42000</v>
      </c>
      <c r="S8" t="s">
        <v>144</v>
      </c>
    </row>
  </sheetData>
  <mergeCells count="4">
    <mergeCell ref="L5:O5"/>
    <mergeCell ref="L6:O6"/>
    <mergeCell ref="L7:O7"/>
    <mergeCell ref="L8:O8"/>
  </mergeCells>
  <hyperlinks>
    <hyperlink ref="S6" r:id="rId1" display="https://www.gov.uk/government/statistics/agriculture-in-the-united-kingdom-2021/chapter-7-crops" xr:uid="{A0F97E8A-9E4F-436E-87AB-BEDC708695B2}"/>
    <hyperlink ref="S5" r:id="rId2" display="https://www.gov.uk/government/statistics/agriculture-in-the-united-kingdom-2021/chapter-7-crops" xr:uid="{CC2FEE32-337F-41B9-A67B-4DB5D67216D1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FD3DA-A2F9-4252-990D-64087173F430}">
  <dimension ref="A1:AK94"/>
  <sheetViews>
    <sheetView zoomScale="33" zoomScaleNormal="85" workbookViewId="0">
      <selection activeCell="AE17" sqref="AE17:AS25"/>
    </sheetView>
  </sheetViews>
  <sheetFormatPr defaultRowHeight="15" x14ac:dyDescent="0.25"/>
  <cols>
    <col min="2" max="2" width="4" bestFit="1" customWidth="1"/>
    <col min="3" max="3" width="15" bestFit="1" customWidth="1"/>
    <col min="4" max="7" width="14" bestFit="1" customWidth="1"/>
    <col min="8" max="10" width="12.7109375" bestFit="1" customWidth="1"/>
    <col min="11" max="11" width="6.7109375" bestFit="1" customWidth="1"/>
    <col min="12" max="13" width="12.28515625" bestFit="1" customWidth="1"/>
    <col min="16" max="16" width="5" customWidth="1"/>
    <col min="17" max="17" width="11.7109375" bestFit="1" customWidth="1"/>
    <col min="18" max="18" width="16.28515625" bestFit="1" customWidth="1"/>
    <col min="19" max="19" width="16.7109375" customWidth="1"/>
    <col min="20" max="22" width="11.7109375" bestFit="1" customWidth="1"/>
    <col min="23" max="26" width="10.7109375" bestFit="1" customWidth="1"/>
    <col min="27" max="27" width="21.28515625" customWidth="1"/>
    <col min="28" max="28" width="8.85546875" customWidth="1"/>
    <col min="32" max="32" width="11.7109375" customWidth="1"/>
    <col min="33" max="33" width="8.5703125" bestFit="1" customWidth="1"/>
    <col min="34" max="34" width="5.42578125" bestFit="1" customWidth="1"/>
    <col min="37" max="37" width="11.28515625" customWidth="1"/>
    <col min="39" max="39" width="12" bestFit="1" customWidth="1"/>
    <col min="41" max="41" width="8.42578125" bestFit="1" customWidth="1"/>
    <col min="42" max="42" width="41" customWidth="1"/>
  </cols>
  <sheetData>
    <row r="1" spans="2:37" ht="14.25" customHeight="1" x14ac:dyDescent="0.25">
      <c r="B1" s="90" t="s">
        <v>90</v>
      </c>
      <c r="C1" s="91"/>
      <c r="D1" s="91"/>
      <c r="E1" s="91"/>
      <c r="F1" s="91"/>
      <c r="G1" s="91"/>
      <c r="H1" s="91"/>
      <c r="J1" s="101" t="s">
        <v>91</v>
      </c>
      <c r="K1" s="101"/>
      <c r="L1" s="101"/>
      <c r="M1" s="101"/>
      <c r="N1" s="101"/>
      <c r="P1" s="101" t="s">
        <v>92</v>
      </c>
      <c r="Q1" s="101"/>
      <c r="R1" s="101"/>
      <c r="S1" s="101"/>
      <c r="T1" s="101"/>
      <c r="V1" s="101" t="s">
        <v>93</v>
      </c>
      <c r="W1" s="101"/>
      <c r="X1" s="101"/>
      <c r="Y1" s="101"/>
      <c r="Z1" s="101"/>
    </row>
    <row r="2" spans="2:37" ht="14.25" customHeight="1" x14ac:dyDescent="0.25">
      <c r="B2" s="91"/>
      <c r="C2" s="91"/>
      <c r="D2" s="91"/>
      <c r="E2" s="91"/>
      <c r="F2" s="91"/>
      <c r="G2" s="91"/>
      <c r="H2" s="91"/>
      <c r="J2" s="101"/>
      <c r="K2" s="101"/>
      <c r="L2" s="101"/>
      <c r="M2" s="101"/>
      <c r="N2" s="101"/>
      <c r="P2" s="101"/>
      <c r="Q2" s="101"/>
      <c r="R2" s="101"/>
      <c r="S2" s="101"/>
      <c r="T2" s="101"/>
      <c r="V2" s="101"/>
      <c r="W2" s="101"/>
      <c r="X2" s="101"/>
      <c r="Y2" s="101"/>
      <c r="Z2" s="101"/>
    </row>
    <row r="4" spans="2:37" x14ac:dyDescent="0.25">
      <c r="V4" s="69" t="s">
        <v>94</v>
      </c>
      <c r="W4" s="69"/>
      <c r="AF4" t="s">
        <v>95</v>
      </c>
    </row>
    <row r="5" spans="2:37" ht="15.75" thickBot="1" x14ac:dyDescent="0.3">
      <c r="B5" s="94" t="s">
        <v>96</v>
      </c>
      <c r="C5" s="95"/>
      <c r="D5" s="96"/>
      <c r="E5" s="40">
        <v>750</v>
      </c>
      <c r="F5" s="44">
        <v>800</v>
      </c>
      <c r="G5" s="44">
        <v>850</v>
      </c>
      <c r="H5" s="44">
        <v>900</v>
      </c>
      <c r="L5" s="92" t="s">
        <v>97</v>
      </c>
      <c r="M5" s="93"/>
      <c r="AG5" s="79" t="s">
        <v>98</v>
      </c>
      <c r="AH5" s="79"/>
      <c r="AI5" s="79" t="s">
        <v>99</v>
      </c>
      <c r="AJ5" s="79"/>
    </row>
    <row r="6" spans="2:37" ht="16.5" thickTop="1" thickBot="1" x14ac:dyDescent="0.3">
      <c r="B6" s="97" t="s">
        <v>100</v>
      </c>
      <c r="C6" s="97"/>
      <c r="D6" s="98"/>
      <c r="E6" s="11">
        <v>0.72147600000000001</v>
      </c>
      <c r="F6" s="9">
        <v>0.80926900000000002</v>
      </c>
      <c r="G6" s="9">
        <v>0.87890800000000002</v>
      </c>
      <c r="H6" s="9">
        <v>0.999552</v>
      </c>
      <c r="K6" s="42"/>
      <c r="L6" s="41" t="s">
        <v>81</v>
      </c>
      <c r="M6" s="49" t="s">
        <v>82</v>
      </c>
      <c r="R6" s="62" t="s">
        <v>101</v>
      </c>
      <c r="V6" s="52"/>
      <c r="W6" s="105" t="s">
        <v>98</v>
      </c>
      <c r="X6" s="92"/>
      <c r="Y6" s="92" t="s">
        <v>99</v>
      </c>
      <c r="Z6" s="92"/>
      <c r="AA6" s="106" t="s">
        <v>102</v>
      </c>
      <c r="AB6" s="107"/>
      <c r="AC6" s="107"/>
      <c r="AD6" s="107"/>
      <c r="AF6" s="15" t="s">
        <v>45</v>
      </c>
      <c r="AG6" s="104">
        <v>15.49</v>
      </c>
      <c r="AH6" s="104"/>
      <c r="AI6" s="104">
        <v>16.649999999999999</v>
      </c>
      <c r="AJ6" s="104"/>
      <c r="AK6" s="16" t="s">
        <v>103</v>
      </c>
    </row>
    <row r="7" spans="2:37" ht="15.75" thickTop="1" x14ac:dyDescent="0.25">
      <c r="B7" s="99" t="s">
        <v>104</v>
      </c>
      <c r="C7" s="99"/>
      <c r="D7" s="100"/>
      <c r="E7" s="12">
        <v>0.61426999999999998</v>
      </c>
      <c r="F7" s="8">
        <v>0.70411599999999996</v>
      </c>
      <c r="G7" s="8">
        <v>0.80232400000000004</v>
      </c>
      <c r="H7" s="8">
        <v>0.89825699999999997</v>
      </c>
      <c r="K7" s="43" t="s">
        <v>45</v>
      </c>
      <c r="L7" s="45">
        <v>2.7583713850837137</v>
      </c>
      <c r="M7" s="45">
        <v>3.9073439878234395</v>
      </c>
      <c r="Q7" s="43" t="s">
        <v>45</v>
      </c>
      <c r="R7" s="45">
        <v>1368519.9615999998</v>
      </c>
      <c r="V7" s="51" t="s">
        <v>45</v>
      </c>
      <c r="W7" s="109">
        <v>17.5</v>
      </c>
      <c r="X7" s="97"/>
      <c r="Y7" s="97">
        <v>18.7</v>
      </c>
      <c r="Z7" s="97"/>
      <c r="AG7" s="104">
        <v>18.2</v>
      </c>
      <c r="AH7" s="104"/>
      <c r="AI7" s="104"/>
      <c r="AJ7" s="104"/>
      <c r="AK7" s="16" t="s">
        <v>105</v>
      </c>
    </row>
    <row r="8" spans="2:37" x14ac:dyDescent="0.25">
      <c r="K8" s="3" t="s">
        <v>63</v>
      </c>
      <c r="L8" s="45">
        <v>1.3600813356164381</v>
      </c>
      <c r="M8" s="45">
        <v>1.9822417237442929</v>
      </c>
      <c r="Q8" s="3" t="s">
        <v>63</v>
      </c>
      <c r="R8" s="45">
        <v>694266.32928000006</v>
      </c>
      <c r="V8" s="50" t="s">
        <v>46</v>
      </c>
      <c r="W8" s="108">
        <v>17.43</v>
      </c>
      <c r="X8" s="99"/>
      <c r="Y8" s="99">
        <v>18.68</v>
      </c>
      <c r="Z8" s="99"/>
      <c r="AA8" s="16"/>
      <c r="AG8" s="104"/>
      <c r="AH8" s="104"/>
      <c r="AI8" s="104"/>
      <c r="AJ8" s="104"/>
    </row>
    <row r="9" spans="2:37" ht="15.75" thickBot="1" x14ac:dyDescent="0.3">
      <c r="B9" s="94" t="s">
        <v>106</v>
      </c>
      <c r="C9" s="95"/>
      <c r="D9" s="96"/>
      <c r="E9" s="40">
        <v>750</v>
      </c>
      <c r="F9" s="44">
        <v>800</v>
      </c>
      <c r="G9" s="44">
        <v>850</v>
      </c>
      <c r="H9" s="44">
        <v>900</v>
      </c>
      <c r="K9" s="3" t="s">
        <v>47</v>
      </c>
      <c r="L9" s="45">
        <v>0.1715668865212244</v>
      </c>
      <c r="M9" s="45">
        <v>0.28716810417723659</v>
      </c>
      <c r="Q9" s="3" t="s">
        <v>47</v>
      </c>
      <c r="R9" s="45">
        <v>81431.644072592593</v>
      </c>
      <c r="V9" s="50" t="s">
        <v>47</v>
      </c>
      <c r="W9" s="108">
        <v>17.53</v>
      </c>
      <c r="X9" s="99"/>
      <c r="Y9" s="99">
        <v>18.64</v>
      </c>
      <c r="Z9" s="99"/>
      <c r="AF9" s="15" t="s">
        <v>46</v>
      </c>
      <c r="AG9" s="104">
        <v>18.440000000000001</v>
      </c>
      <c r="AH9" s="104"/>
      <c r="AI9" s="104"/>
      <c r="AJ9" s="104"/>
      <c r="AK9" s="16" t="s">
        <v>107</v>
      </c>
    </row>
    <row r="10" spans="2:37" ht="16.5" thickTop="1" thickBot="1" x14ac:dyDescent="0.3">
      <c r="B10" s="97" t="s">
        <v>108</v>
      </c>
      <c r="C10" s="97"/>
      <c r="D10" s="98"/>
      <c r="E10" s="11">
        <v>1618948.9222433334</v>
      </c>
      <c r="F10" s="11">
        <v>1815951.1547923151</v>
      </c>
      <c r="G10" s="11">
        <v>1972216.8989003706</v>
      </c>
      <c r="H10" s="11">
        <v>2242934.8074311111</v>
      </c>
      <c r="K10" s="46" t="s">
        <v>83</v>
      </c>
      <c r="L10" s="47">
        <v>0.12130580923389142</v>
      </c>
      <c r="M10" s="47">
        <v>0.2271848046676814</v>
      </c>
      <c r="Q10" s="46" t="s">
        <v>83</v>
      </c>
      <c r="R10" s="47">
        <v>42486.513066666666</v>
      </c>
      <c r="V10" s="50" t="s">
        <v>48</v>
      </c>
      <c r="W10" s="108">
        <v>16.239999999999998</v>
      </c>
      <c r="X10" s="99"/>
      <c r="Y10" s="99">
        <v>17.46</v>
      </c>
      <c r="Z10" s="99"/>
      <c r="AG10" s="104"/>
      <c r="AH10" s="104"/>
      <c r="AI10" s="104"/>
      <c r="AJ10" s="104"/>
    </row>
    <row r="11" spans="2:37" ht="16.5" thickTop="1" thickBot="1" x14ac:dyDescent="0.3">
      <c r="B11" s="99" t="s">
        <v>109</v>
      </c>
      <c r="C11" s="99"/>
      <c r="D11" s="100"/>
      <c r="E11" s="11">
        <v>1378385.080676852</v>
      </c>
      <c r="F11" s="11">
        <v>1579994.1222359261</v>
      </c>
      <c r="G11" s="11">
        <v>1800366.9908492595</v>
      </c>
      <c r="H11" s="11">
        <v>2015634.8957519445</v>
      </c>
      <c r="K11" s="43" t="s">
        <v>87</v>
      </c>
      <c r="L11" s="48" t="e">
        <f>#REF!</f>
        <v>#REF!</v>
      </c>
      <c r="M11" s="48" t="e">
        <f>#REF!</f>
        <v>#REF!</v>
      </c>
      <c r="Q11" s="43" t="s">
        <v>87</v>
      </c>
      <c r="R11" s="48">
        <f>SUM(R7:R10)</f>
        <v>2186704.4480192591</v>
      </c>
      <c r="AG11" s="104"/>
      <c r="AH11" s="104"/>
      <c r="AI11" s="104"/>
      <c r="AJ11" s="104"/>
    </row>
    <row r="12" spans="2:37" ht="15.75" thickTop="1" x14ac:dyDescent="0.25">
      <c r="Q12" s="43" t="s">
        <v>110</v>
      </c>
      <c r="R12" s="48">
        <f>SUM(R11+M7+'Energy Input'!M8+'Energy Input'!M9+'Energy Input'!L10)</f>
        <v>2186710.7460788842</v>
      </c>
      <c r="W12" s="104"/>
      <c r="X12" s="104"/>
      <c r="Y12" s="104"/>
      <c r="Z12" s="104"/>
      <c r="AF12" s="15" t="s">
        <v>47</v>
      </c>
      <c r="AG12" s="104">
        <v>15.37</v>
      </c>
      <c r="AH12" s="104"/>
      <c r="AI12" s="104">
        <v>16.63</v>
      </c>
      <c r="AJ12" s="104"/>
      <c r="AK12" s="16" t="s">
        <v>103</v>
      </c>
    </row>
    <row r="13" spans="2:37" ht="15.75" thickBot="1" x14ac:dyDescent="0.3">
      <c r="B13" s="94" t="s">
        <v>111</v>
      </c>
      <c r="C13" s="95"/>
      <c r="D13" s="96"/>
      <c r="E13" s="40">
        <v>750</v>
      </c>
      <c r="F13" s="44">
        <v>800</v>
      </c>
      <c r="G13" s="44">
        <v>850</v>
      </c>
      <c r="H13" s="44">
        <v>900</v>
      </c>
      <c r="L13" s="92" t="s">
        <v>112</v>
      </c>
      <c r="M13" s="93"/>
      <c r="V13" s="69" t="s">
        <v>113</v>
      </c>
      <c r="W13" s="69"/>
      <c r="AG13" s="104"/>
      <c r="AH13" s="104"/>
      <c r="AI13" s="104"/>
      <c r="AJ13" s="104"/>
    </row>
    <row r="14" spans="2:37" ht="16.5" thickTop="1" thickBot="1" x14ac:dyDescent="0.3">
      <c r="B14" s="97" t="s">
        <v>108</v>
      </c>
      <c r="C14" s="97"/>
      <c r="D14" s="98"/>
      <c r="E14" s="11">
        <v>1115205.9618233305</v>
      </c>
      <c r="F14" s="11">
        <v>1250910.097520645</v>
      </c>
      <c r="G14" s="11">
        <v>1358553.0793737001</v>
      </c>
      <c r="H14" s="11">
        <v>1545035.939591107</v>
      </c>
      <c r="K14" s="42"/>
      <c r="L14" s="41" t="s">
        <v>81</v>
      </c>
      <c r="M14" s="49" t="s">
        <v>82</v>
      </c>
      <c r="R14" s="62" t="s">
        <v>114</v>
      </c>
      <c r="AF14" s="15"/>
      <c r="AG14" s="104"/>
      <c r="AH14" s="104"/>
      <c r="AI14" s="104"/>
      <c r="AJ14" s="104"/>
      <c r="AK14" s="16"/>
    </row>
    <row r="15" spans="2:37" ht="16.5" thickTop="1" thickBot="1" x14ac:dyDescent="0.3">
      <c r="B15" s="99" t="s">
        <v>109</v>
      </c>
      <c r="C15" s="99"/>
      <c r="D15" s="100"/>
      <c r="E15" s="11">
        <v>949494.600193516</v>
      </c>
      <c r="F15" s="11">
        <v>1088372.1163492564</v>
      </c>
      <c r="G15" s="11">
        <v>1240175.0136025895</v>
      </c>
      <c r="H15" s="11">
        <v>1388461.3786869408</v>
      </c>
      <c r="K15" s="43" t="s">
        <v>45</v>
      </c>
      <c r="L15" s="45">
        <v>24163.333333333241</v>
      </c>
      <c r="M15" s="45">
        <v>34228.333333333336</v>
      </c>
      <c r="Q15" s="43" t="s">
        <v>45</v>
      </c>
      <c r="R15" s="45">
        <f>(R7*3600000)/10^9</f>
        <v>4926.671861759999</v>
      </c>
      <c r="W15" s="92" t="s">
        <v>78</v>
      </c>
      <c r="X15" s="93"/>
      <c r="AA15" s="92" t="s">
        <v>115</v>
      </c>
      <c r="AB15" s="93"/>
      <c r="AF15" s="15" t="s">
        <v>48</v>
      </c>
      <c r="AG15" s="104"/>
      <c r="AH15" s="104"/>
      <c r="AI15" s="104"/>
      <c r="AJ15" s="104"/>
      <c r="AK15" s="16"/>
    </row>
    <row r="16" spans="2:37" ht="16.5" thickTop="1" thickBot="1" x14ac:dyDescent="0.3">
      <c r="K16" s="3" t="s">
        <v>63</v>
      </c>
      <c r="L16" s="45">
        <v>11914.312499999998</v>
      </c>
      <c r="M16" s="45">
        <v>17364.437500000004</v>
      </c>
      <c r="Q16" s="3" t="s">
        <v>63</v>
      </c>
      <c r="R16" s="45">
        <f>(R8*3600000)/10^9</f>
        <v>2499.3587854080001</v>
      </c>
      <c r="V16" s="42"/>
      <c r="W16" s="41" t="s">
        <v>81</v>
      </c>
      <c r="X16" s="40" t="s">
        <v>82</v>
      </c>
      <c r="Z16" s="42"/>
      <c r="AA16" s="41" t="s">
        <v>81</v>
      </c>
      <c r="AB16" s="40" t="s">
        <v>82</v>
      </c>
    </row>
    <row r="17" spans="2:28" ht="16.5" thickTop="1" thickBot="1" x14ac:dyDescent="0.3">
      <c r="B17" s="94" t="s">
        <v>106</v>
      </c>
      <c r="C17" s="95"/>
      <c r="D17" s="96"/>
      <c r="E17" s="40">
        <v>750</v>
      </c>
      <c r="F17" s="44">
        <v>800</v>
      </c>
      <c r="G17" s="44">
        <v>850</v>
      </c>
      <c r="H17" s="44">
        <v>900</v>
      </c>
      <c r="K17" s="3" t="s">
        <v>47</v>
      </c>
      <c r="L17" s="45">
        <v>1502.9259259259259</v>
      </c>
      <c r="M17" s="45">
        <v>2515.5925925925931</v>
      </c>
      <c r="Q17" s="3" t="s">
        <v>47</v>
      </c>
      <c r="R17" s="45">
        <f>(R9*3600000)/10^9</f>
        <v>293.15391866133331</v>
      </c>
      <c r="V17" s="43" t="s">
        <v>45</v>
      </c>
      <c r="W17" s="38">
        <f>'Dry Feed Rate Tests'!S13</f>
        <v>1.13808801213961E-4</v>
      </c>
      <c r="X17" s="39">
        <f>'Dry Feed Rate Tests'!T13</f>
        <v>8.0342795929298338E-5</v>
      </c>
      <c r="Z17" s="43" t="s">
        <v>45</v>
      </c>
      <c r="AA17" s="38">
        <f>W17*60*60</f>
        <v>0.40971168437025962</v>
      </c>
      <c r="AB17" s="38">
        <f>X17*60*60</f>
        <v>0.28923406534547402</v>
      </c>
    </row>
    <row r="18" spans="2:28" ht="16.5" thickTop="1" thickBot="1" x14ac:dyDescent="0.3">
      <c r="B18" s="97" t="s">
        <v>116</v>
      </c>
      <c r="C18" s="97"/>
      <c r="D18" s="98"/>
      <c r="E18" s="56">
        <v>5828.2161200760002</v>
      </c>
      <c r="F18" s="56">
        <v>6537.4241572523342</v>
      </c>
      <c r="G18" s="56">
        <v>7099.9808360413335</v>
      </c>
      <c r="H18" s="56">
        <v>8074.5653067519997</v>
      </c>
      <c r="K18" s="46" t="s">
        <v>83</v>
      </c>
      <c r="L18" s="45">
        <v>1062.6388888888889</v>
      </c>
      <c r="M18" s="45">
        <v>1990.1388888888891</v>
      </c>
      <c r="Q18" s="46" t="s">
        <v>83</v>
      </c>
      <c r="R18" s="45">
        <f>(R10*3600000)/10^9</f>
        <v>152.95144704000001</v>
      </c>
      <c r="V18" s="3" t="s">
        <v>63</v>
      </c>
      <c r="W18" s="37">
        <f>'Dry Feed Rate Tests'!S14</f>
        <v>9.285051067780875E-5</v>
      </c>
      <c r="X18" s="36">
        <f>'Dry Feed Rate Tests'!T14</f>
        <v>6.370779358674877E-5</v>
      </c>
      <c r="Z18" s="3" t="s">
        <v>63</v>
      </c>
      <c r="AA18" s="38">
        <f t="shared" ref="AA18:AA20" si="0">W18*60*60</f>
        <v>0.33426183844011148</v>
      </c>
      <c r="AB18" s="38">
        <f t="shared" ref="AB18:AB19" si="1">X18*60*60</f>
        <v>0.22934805691229557</v>
      </c>
    </row>
    <row r="19" spans="2:28" ht="16.5" thickTop="1" thickBot="1" x14ac:dyDescent="0.3">
      <c r="B19" s="99" t="s">
        <v>117</v>
      </c>
      <c r="C19" s="99"/>
      <c r="D19" s="100"/>
      <c r="E19" s="56">
        <v>4962.1862904366672</v>
      </c>
      <c r="F19" s="56">
        <v>5687.9788400493344</v>
      </c>
      <c r="G19" s="56">
        <v>6481.3211670573337</v>
      </c>
      <c r="H19" s="56">
        <v>7256.2856247070004</v>
      </c>
      <c r="K19" s="43" t="s">
        <v>87</v>
      </c>
      <c r="L19" s="48">
        <f>SUM(L15:L18)</f>
        <v>38643.210648148059</v>
      </c>
      <c r="M19" s="48">
        <f>SUM(M15:M18)</f>
        <v>56098.502314814825</v>
      </c>
      <c r="Q19" s="46" t="s">
        <v>118</v>
      </c>
      <c r="R19" s="45">
        <f>((M7+M8+M9+L10)*3600000)/10^9</f>
        <v>2.2673014649923894E-2</v>
      </c>
      <c r="V19" s="3" t="s">
        <v>47</v>
      </c>
      <c r="W19" s="37">
        <f>'Dry Feed Rate Tests'!S15</f>
        <v>2.2918258212375862E-4</v>
      </c>
      <c r="X19" s="36">
        <f>'Dry Feed Rate Tests'!T15</f>
        <v>1.3692377909630305E-4</v>
      </c>
      <c r="Z19" s="3" t="s">
        <v>47</v>
      </c>
      <c r="AA19" s="38">
        <f t="shared" si="0"/>
        <v>0.8250572956455311</v>
      </c>
      <c r="AB19" s="38">
        <f t="shared" si="1"/>
        <v>0.492925604746691</v>
      </c>
    </row>
    <row r="20" spans="2:28" ht="15.75" thickTop="1" x14ac:dyDescent="0.25">
      <c r="Q20" s="43" t="s">
        <v>87</v>
      </c>
      <c r="R20" s="48">
        <f>SUM(R15:R19)</f>
        <v>7872.1586858839828</v>
      </c>
      <c r="V20" s="3" t="s">
        <v>83</v>
      </c>
      <c r="W20" s="37">
        <f>'Dry Feed Rate Tests'!S16</f>
        <v>2.7447392497712719E-4</v>
      </c>
      <c r="X20" s="36">
        <f>'Dry Feed Rate Tests'!T16</f>
        <v>1.4655593551538836E-4</v>
      </c>
      <c r="Z20" s="3" t="s">
        <v>83</v>
      </c>
      <c r="AA20" s="38">
        <f t="shared" si="0"/>
        <v>0.98810612991765789</v>
      </c>
      <c r="AB20" s="38">
        <f>X20*60*60</f>
        <v>0.52760136785539813</v>
      </c>
    </row>
    <row r="21" spans="2:28" ht="15.75" thickBot="1" x14ac:dyDescent="0.3">
      <c r="B21" s="94" t="s">
        <v>111</v>
      </c>
      <c r="C21" s="95"/>
      <c r="D21" s="96"/>
      <c r="E21" s="40">
        <v>750</v>
      </c>
      <c r="F21" s="44">
        <v>800</v>
      </c>
      <c r="G21" s="44">
        <v>850</v>
      </c>
      <c r="H21" s="44">
        <v>900</v>
      </c>
      <c r="K21" s="102" t="s">
        <v>121</v>
      </c>
      <c r="L21" s="103"/>
      <c r="M21" s="12">
        <v>25</v>
      </c>
    </row>
    <row r="22" spans="2:28" ht="15.75" thickTop="1" x14ac:dyDescent="0.25">
      <c r="B22" s="97" t="s">
        <v>116</v>
      </c>
      <c r="C22" s="97"/>
      <c r="D22" s="98"/>
      <c r="E22" s="56">
        <v>4014.7414625639899</v>
      </c>
      <c r="F22" s="56">
        <v>4503.2763510743225</v>
      </c>
      <c r="G22" s="56">
        <v>4890.7910857453207</v>
      </c>
      <c r="H22" s="56">
        <v>5562.1293825279854</v>
      </c>
    </row>
    <row r="23" spans="2:28" x14ac:dyDescent="0.25">
      <c r="B23" s="99" t="s">
        <v>117</v>
      </c>
      <c r="C23" s="99"/>
      <c r="D23" s="100"/>
      <c r="E23" s="56">
        <v>3418.1805606966577</v>
      </c>
      <c r="F23" s="56">
        <v>3918.1396188573226</v>
      </c>
      <c r="G23" s="56">
        <v>4464.6300489693222</v>
      </c>
      <c r="H23" s="56">
        <v>4998.4609632729862</v>
      </c>
      <c r="K23" s="102" t="s">
        <v>124</v>
      </c>
      <c r="L23" s="103"/>
      <c r="M23" s="12">
        <f>90000/1000000</f>
        <v>0.09</v>
      </c>
      <c r="V23" s="69" t="s">
        <v>125</v>
      </c>
      <c r="W23" s="69"/>
    </row>
    <row r="25" spans="2:28" ht="15.75" thickBot="1" x14ac:dyDescent="0.3">
      <c r="L25" s="94" t="s">
        <v>127</v>
      </c>
      <c r="M25" s="105"/>
      <c r="W25" s="92" t="s">
        <v>128</v>
      </c>
      <c r="X25" s="93"/>
      <c r="AA25" s="92" t="s">
        <v>129</v>
      </c>
      <c r="AB25" s="93"/>
    </row>
    <row r="26" spans="2:28" ht="16.5" thickTop="1" thickBot="1" x14ac:dyDescent="0.3">
      <c r="B26" s="94" t="s">
        <v>96</v>
      </c>
      <c r="C26" s="95"/>
      <c r="D26" s="96"/>
      <c r="E26" s="40">
        <v>750</v>
      </c>
      <c r="F26" s="44">
        <v>800</v>
      </c>
      <c r="G26" s="44">
        <v>850</v>
      </c>
      <c r="H26" s="44">
        <v>900</v>
      </c>
      <c r="K26" s="42"/>
      <c r="L26" s="41" t="s">
        <v>81</v>
      </c>
      <c r="M26" s="49" t="s">
        <v>82</v>
      </c>
      <c r="V26" s="42"/>
      <c r="W26" s="41" t="s">
        <v>81</v>
      </c>
      <c r="X26" s="40" t="s">
        <v>82</v>
      </c>
      <c r="Y26" s="53"/>
      <c r="Z26" s="42"/>
      <c r="AA26" s="41" t="s">
        <v>81</v>
      </c>
      <c r="AB26" s="40" t="s">
        <v>82</v>
      </c>
    </row>
    <row r="27" spans="2:28" ht="15.75" thickTop="1" x14ac:dyDescent="0.25">
      <c r="B27" s="97" t="s">
        <v>130</v>
      </c>
      <c r="C27" s="97"/>
      <c r="D27" s="98"/>
      <c r="E27" s="11">
        <v>2.5973136000000001</v>
      </c>
      <c r="F27" s="11">
        <v>2.9133684</v>
      </c>
      <c r="G27" s="11">
        <v>3.1640688000000003</v>
      </c>
      <c r="H27" s="11">
        <v>3.5983871999999999</v>
      </c>
      <c r="K27" s="43" t="s">
        <v>45</v>
      </c>
      <c r="L27" s="12">
        <f>(L15*3600000)/10^9</f>
        <v>86.987999999999658</v>
      </c>
      <c r="M27" s="12">
        <f>(M15*3600000)/10^9</f>
        <v>123.22200000000001</v>
      </c>
      <c r="V27" s="43" t="s">
        <v>45</v>
      </c>
      <c r="W27" s="38">
        <f>W7*AA17</f>
        <v>7.1699544764795435</v>
      </c>
      <c r="X27" s="38">
        <f>W7*AB17</f>
        <v>5.0615961435457955</v>
      </c>
      <c r="Y27" s="54"/>
      <c r="Z27" s="43" t="s">
        <v>45</v>
      </c>
      <c r="AA27" s="38">
        <f>Y7*AA17</f>
        <v>7.6616084977238543</v>
      </c>
      <c r="AB27" s="38">
        <f>Y7*AB17</f>
        <v>5.4086770219603642</v>
      </c>
    </row>
    <row r="28" spans="2:28" x14ac:dyDescent="0.25">
      <c r="B28" s="99" t="s">
        <v>131</v>
      </c>
      <c r="C28" s="99"/>
      <c r="D28" s="100"/>
      <c r="E28" s="11">
        <v>2.2113719999999999</v>
      </c>
      <c r="F28" s="11">
        <v>2.5348175999999998</v>
      </c>
      <c r="G28" s="11">
        <v>2.8883664000000002</v>
      </c>
      <c r="H28" s="11">
        <v>3.2337251999999999</v>
      </c>
      <c r="K28" s="3" t="s">
        <v>63</v>
      </c>
      <c r="L28" s="12">
        <f t="shared" ref="L28:M30" si="2">(L16*3600000)/10^9</f>
        <v>42.891524999999994</v>
      </c>
      <c r="M28" s="12">
        <f t="shared" si="2"/>
        <v>62.511975000000014</v>
      </c>
      <c r="V28" s="3" t="s">
        <v>63</v>
      </c>
      <c r="W28" s="38">
        <f t="shared" ref="W28" si="3">W8*AA18</f>
        <v>5.8261838440111431</v>
      </c>
      <c r="X28" s="38">
        <f t="shared" ref="X28:X29" si="4">W8*AB18</f>
        <v>3.9975366319813115</v>
      </c>
      <c r="Z28" s="3" t="s">
        <v>63</v>
      </c>
      <c r="AA28" s="38">
        <f t="shared" ref="AA28" si="5">Y8*AA18</f>
        <v>6.2440111420612823</v>
      </c>
      <c r="AB28" s="38">
        <f t="shared" ref="AB28:AB30" si="6">Y8*AB18</f>
        <v>4.2842217031216814</v>
      </c>
    </row>
    <row r="29" spans="2:28" x14ac:dyDescent="0.25">
      <c r="K29" s="3" t="s">
        <v>47</v>
      </c>
      <c r="L29" s="12">
        <f t="shared" si="2"/>
        <v>5.4105333333333334</v>
      </c>
      <c r="M29" s="12">
        <f t="shared" si="2"/>
        <v>9.0561333333333351</v>
      </c>
      <c r="V29" s="3" t="s">
        <v>47</v>
      </c>
      <c r="W29" s="38">
        <f>W9*AA19</f>
        <v>14.463254392666162</v>
      </c>
      <c r="X29" s="38">
        <f t="shared" si="4"/>
        <v>8.6409858512094946</v>
      </c>
      <c r="Z29" s="3" t="s">
        <v>47</v>
      </c>
      <c r="AA29" s="38">
        <f>Y9*AA19</f>
        <v>15.3790679908327</v>
      </c>
      <c r="AB29" s="38">
        <f t="shared" si="6"/>
        <v>9.1881332724783213</v>
      </c>
    </row>
    <row r="30" spans="2:28" ht="15.75" thickBot="1" x14ac:dyDescent="0.3">
      <c r="K30" s="46" t="s">
        <v>83</v>
      </c>
      <c r="L30" s="12">
        <f t="shared" si="2"/>
        <v>3.8254999999999999</v>
      </c>
      <c r="M30" s="12">
        <f t="shared" si="2"/>
        <v>7.1645000000000012</v>
      </c>
      <c r="V30" s="3" t="s">
        <v>83</v>
      </c>
      <c r="W30" s="38">
        <f>W10*AA20</f>
        <v>16.046843549862764</v>
      </c>
      <c r="X30" s="38">
        <f>W10*AB20</f>
        <v>8.5682462139716655</v>
      </c>
      <c r="Z30" s="3" t="s">
        <v>83</v>
      </c>
      <c r="AA30" s="38">
        <f>Y10*AA20</f>
        <v>17.252333028362308</v>
      </c>
      <c r="AB30" s="38">
        <f t="shared" si="6"/>
        <v>9.211919882755252</v>
      </c>
    </row>
    <row r="31" spans="2:28" ht="15.75" thickTop="1" x14ac:dyDescent="0.25">
      <c r="K31" s="43" t="s">
        <v>87</v>
      </c>
      <c r="L31" s="48">
        <f>SUM(L27:L30)</f>
        <v>139.11555833333298</v>
      </c>
      <c r="M31" s="48">
        <f>SUM(M27:M30)</f>
        <v>201.95460833333337</v>
      </c>
    </row>
    <row r="33" spans="1:26" ht="14.25" customHeight="1" x14ac:dyDescent="0.25">
      <c r="B33" s="90" t="s">
        <v>132</v>
      </c>
      <c r="C33" s="91"/>
      <c r="D33" s="91"/>
      <c r="E33" s="91"/>
      <c r="F33" s="91"/>
      <c r="G33" s="91"/>
      <c r="H33" s="91"/>
    </row>
    <row r="34" spans="1:26" x14ac:dyDescent="0.25">
      <c r="B34" s="91"/>
      <c r="C34" s="91"/>
      <c r="D34" s="91"/>
      <c r="E34" s="91"/>
      <c r="F34" s="91"/>
      <c r="G34" s="91"/>
      <c r="H34" s="91"/>
      <c r="V34" s="69" t="s">
        <v>133</v>
      </c>
      <c r="W34" s="69"/>
    </row>
    <row r="35" spans="1:26" x14ac:dyDescent="0.25">
      <c r="C35" s="104" t="s">
        <v>134</v>
      </c>
      <c r="D35" s="104"/>
      <c r="E35" s="104"/>
      <c r="F35" s="104"/>
      <c r="G35" s="104"/>
    </row>
    <row r="36" spans="1:26" ht="15.75" thickBot="1" x14ac:dyDescent="0.3">
      <c r="A36" s="110" t="s">
        <v>135</v>
      </c>
      <c r="B36" s="104"/>
      <c r="C36" s="55"/>
      <c r="D36" s="55"/>
      <c r="V36" s="52"/>
      <c r="W36" s="105" t="s">
        <v>136</v>
      </c>
      <c r="X36" s="92"/>
      <c r="Y36" s="92" t="s">
        <v>137</v>
      </c>
      <c r="Z36" s="92"/>
    </row>
    <row r="37" spans="1:26" ht="15.4" customHeight="1" thickTop="1" thickBot="1" x14ac:dyDescent="0.3">
      <c r="A37" s="104"/>
      <c r="B37" s="104"/>
      <c r="C37" s="70" t="s">
        <v>45</v>
      </c>
      <c r="D37" s="71"/>
      <c r="E37" s="70" t="s">
        <v>46</v>
      </c>
      <c r="F37" s="71"/>
      <c r="G37" s="70" t="s">
        <v>47</v>
      </c>
      <c r="H37" s="71"/>
      <c r="I37" s="70" t="s">
        <v>48</v>
      </c>
      <c r="J37" s="71"/>
      <c r="V37" s="51" t="s">
        <v>45</v>
      </c>
      <c r="W37" s="109">
        <f>W7*'Land and Crop Yield'!R5</f>
        <v>6930000</v>
      </c>
      <c r="X37" s="97"/>
      <c r="Y37" s="109">
        <f>Y7*'Land and Crop Yield'!R5</f>
        <v>7405200</v>
      </c>
      <c r="Z37" s="97"/>
    </row>
    <row r="38" spans="1:26" ht="16.5" thickTop="1" thickBot="1" x14ac:dyDescent="0.3">
      <c r="C38" s="14">
        <v>5</v>
      </c>
      <c r="D38" s="14">
        <v>10</v>
      </c>
      <c r="E38" s="14">
        <v>5</v>
      </c>
      <c r="F38" s="14">
        <v>10</v>
      </c>
      <c r="G38" s="14">
        <v>5</v>
      </c>
      <c r="H38" s="14">
        <v>10</v>
      </c>
      <c r="I38" s="14">
        <v>5</v>
      </c>
      <c r="J38" s="14">
        <v>10</v>
      </c>
      <c r="V38" s="50" t="s">
        <v>46</v>
      </c>
      <c r="W38" s="109">
        <f>W8*'Land and Crop Yield'!R6</f>
        <v>2776599</v>
      </c>
      <c r="X38" s="97"/>
      <c r="Y38" s="109">
        <f>Y8*'Land and Crop Yield'!R6</f>
        <v>2975724</v>
      </c>
      <c r="Z38" s="97"/>
    </row>
    <row r="39" spans="1:26" ht="15.75" thickBot="1" x14ac:dyDescent="0.3">
      <c r="B39" s="13">
        <v>900</v>
      </c>
      <c r="C39" s="68">
        <v>1368519.9615999998</v>
      </c>
      <c r="D39" s="68">
        <v>966100.32639999618</v>
      </c>
      <c r="E39" s="68">
        <v>694266.32928000006</v>
      </c>
      <c r="F39" s="68">
        <v>476358.99551999988</v>
      </c>
      <c r="G39" s="68">
        <v>100578.62428444445</v>
      </c>
      <c r="H39" s="68">
        <v>60090.104604444437</v>
      </c>
      <c r="I39" s="68">
        <v>79569.892266666677</v>
      </c>
      <c r="J39" s="68">
        <v>42486.513066666666</v>
      </c>
      <c r="V39" s="50" t="s">
        <v>47</v>
      </c>
      <c r="W39" s="109">
        <f>W9*'Land and Crop Yield'!R7</f>
        <v>869488</v>
      </c>
      <c r="X39" s="97"/>
      <c r="Y39" s="109">
        <f>Y9*'Land and Crop Yield'!R7</f>
        <v>924544</v>
      </c>
      <c r="Z39" s="97"/>
    </row>
    <row r="40" spans="1:26" ht="15.75" thickBot="1" x14ac:dyDescent="0.3">
      <c r="B40" s="13">
        <v>850</v>
      </c>
      <c r="C40" s="68">
        <v>1203342.2397333332</v>
      </c>
      <c r="D40" s="68">
        <v>849493.87893333007</v>
      </c>
      <c r="E40" s="68">
        <v>610469.72137000016</v>
      </c>
      <c r="F40" s="68">
        <v>418863.3828299999</v>
      </c>
      <c r="G40" s="68">
        <v>88438.978174814823</v>
      </c>
      <c r="H40" s="68">
        <v>52837.344788148141</v>
      </c>
      <c r="I40" s="68">
        <v>69965.959622222232</v>
      </c>
      <c r="J40" s="68">
        <v>37358.472822222226</v>
      </c>
      <c r="V40" s="50" t="s">
        <v>48</v>
      </c>
      <c r="W40" s="109">
        <f>W10*'Land and Crop Yield'!R8</f>
        <v>682079.99999999988</v>
      </c>
      <c r="X40" s="97"/>
      <c r="Y40" s="109">
        <f>Y10*'Land and Crop Yield'!R8</f>
        <v>733320</v>
      </c>
      <c r="Z40" s="97"/>
    </row>
    <row r="41" spans="1:26" ht="15.75" thickBot="1" x14ac:dyDescent="0.3">
      <c r="B41" s="13">
        <v>800</v>
      </c>
      <c r="C41" s="68">
        <v>1107997.1635333332</v>
      </c>
      <c r="D41" s="68">
        <v>782185.46413333027</v>
      </c>
      <c r="E41" s="68">
        <v>562100.03884750011</v>
      </c>
      <c r="F41" s="68">
        <v>385675.3505024999</v>
      </c>
      <c r="G41" s="68">
        <v>81431.644072592593</v>
      </c>
      <c r="H41" s="68">
        <v>48650.854445925921</v>
      </c>
      <c r="I41" s="68">
        <v>64422.308338888899</v>
      </c>
      <c r="J41" s="68">
        <v>34398.428438888892</v>
      </c>
    </row>
    <row r="42" spans="1:26" ht="15.75" thickBot="1" x14ac:dyDescent="0.3">
      <c r="B42" s="13">
        <v>750</v>
      </c>
      <c r="C42" s="68">
        <v>987796.84080000001</v>
      </c>
      <c r="D42" s="68">
        <v>697330.60319999722</v>
      </c>
      <c r="E42" s="68">
        <v>501120.9963900001</v>
      </c>
      <c r="F42" s="68">
        <v>343835.62100999994</v>
      </c>
      <c r="G42" s="68">
        <v>72597.587253333331</v>
      </c>
      <c r="H42" s="68">
        <v>43372.999413333331</v>
      </c>
      <c r="I42" s="68">
        <v>57433.497800000005</v>
      </c>
      <c r="J42" s="68">
        <v>30666.7382</v>
      </c>
      <c r="V42" s="52"/>
      <c r="W42" s="105" t="s">
        <v>138</v>
      </c>
      <c r="X42" s="92"/>
      <c r="Y42" s="92" t="s">
        <v>139</v>
      </c>
      <c r="Z42" s="92"/>
    </row>
    <row r="43" spans="1:26" x14ac:dyDescent="0.25">
      <c r="V43" s="51" t="s">
        <v>45</v>
      </c>
      <c r="W43" s="109">
        <f>W37/1000</f>
        <v>6930</v>
      </c>
      <c r="X43" s="97"/>
      <c r="Y43" s="109">
        <f>Y37/1000</f>
        <v>7405.2</v>
      </c>
      <c r="Z43" s="97"/>
    </row>
    <row r="44" spans="1:26" ht="15.75" thickBot="1" x14ac:dyDescent="0.3">
      <c r="A44" s="110" t="s">
        <v>140</v>
      </c>
      <c r="B44" s="104"/>
      <c r="C44" s="55"/>
      <c r="D44" s="55"/>
      <c r="V44" s="50" t="s">
        <v>46</v>
      </c>
      <c r="W44" s="109">
        <f t="shared" ref="W44:W46" si="7">W38/1000</f>
        <v>2776.5990000000002</v>
      </c>
      <c r="X44" s="97"/>
      <c r="Y44" s="109">
        <f t="shared" ref="Y44:Y46" si="8">Y38/1000</f>
        <v>2975.7240000000002</v>
      </c>
      <c r="Z44" s="97"/>
    </row>
    <row r="45" spans="1:26" ht="16.5" thickTop="1" thickBot="1" x14ac:dyDescent="0.3">
      <c r="A45" s="104"/>
      <c r="B45" s="104"/>
      <c r="C45" s="70" t="s">
        <v>45</v>
      </c>
      <c r="D45" s="71"/>
      <c r="E45" s="70" t="s">
        <v>46</v>
      </c>
      <c r="F45" s="71"/>
      <c r="G45" s="70" t="s">
        <v>47</v>
      </c>
      <c r="H45" s="71"/>
      <c r="I45" s="70" t="s">
        <v>48</v>
      </c>
      <c r="J45" s="71"/>
      <c r="V45" s="50" t="s">
        <v>47</v>
      </c>
      <c r="W45" s="109">
        <f t="shared" si="7"/>
        <v>869.48800000000006</v>
      </c>
      <c r="X45" s="97"/>
      <c r="Y45" s="109">
        <f t="shared" si="8"/>
        <v>924.54399999999998</v>
      </c>
      <c r="Z45" s="97"/>
    </row>
    <row r="46" spans="1:26" ht="16.5" thickTop="1" thickBot="1" x14ac:dyDescent="0.3">
      <c r="C46" s="14">
        <v>5</v>
      </c>
      <c r="D46" s="14">
        <v>10</v>
      </c>
      <c r="E46" s="14">
        <v>5</v>
      </c>
      <c r="F46" s="14">
        <v>10</v>
      </c>
      <c r="G46" s="14">
        <v>5</v>
      </c>
      <c r="H46" s="14">
        <v>10</v>
      </c>
      <c r="I46" s="14">
        <v>5</v>
      </c>
      <c r="J46" s="14">
        <v>10</v>
      </c>
      <c r="V46" s="50" t="s">
        <v>48</v>
      </c>
      <c r="W46" s="109">
        <f t="shared" si="7"/>
        <v>682.07999999999993</v>
      </c>
      <c r="X46" s="97"/>
      <c r="Y46" s="109">
        <f t="shared" si="8"/>
        <v>733.32</v>
      </c>
      <c r="Z46" s="97"/>
    </row>
    <row r="47" spans="1:26" ht="15.75" thickBot="1" x14ac:dyDescent="0.3">
      <c r="B47" s="13">
        <v>900</v>
      </c>
      <c r="C47" s="68">
        <f>(C39*3600000)/10^9</f>
        <v>4926.671861759999</v>
      </c>
      <c r="D47" s="68">
        <f>(D39*3600000)/10^9</f>
        <v>3477.9611750399863</v>
      </c>
      <c r="E47" s="68">
        <f t="shared" ref="E47:J47" si="9">(E39*3600000)/10^9</f>
        <v>2499.3587854080001</v>
      </c>
      <c r="F47" s="68">
        <f t="shared" si="9"/>
        <v>1714.8923838719995</v>
      </c>
      <c r="G47" s="68">
        <f t="shared" si="9"/>
        <v>362.08304742399997</v>
      </c>
      <c r="H47" s="68">
        <f>(H39*3600000)/10^9</f>
        <v>216.32437657599996</v>
      </c>
      <c r="I47" s="68">
        <f t="shared" si="9"/>
        <v>286.45161216000008</v>
      </c>
      <c r="J47" s="68">
        <f t="shared" si="9"/>
        <v>152.95144704000001</v>
      </c>
      <c r="L47" s="63"/>
    </row>
    <row r="48" spans="1:26" ht="15.75" thickBot="1" x14ac:dyDescent="0.3">
      <c r="B48" s="13">
        <v>850</v>
      </c>
      <c r="C48" s="68">
        <f t="shared" ref="C48:J48" si="10">(C40*3600000)/10^9</f>
        <v>4332.0320630399992</v>
      </c>
      <c r="D48" s="68">
        <f t="shared" si="10"/>
        <v>3058.1779641599883</v>
      </c>
      <c r="E48" s="68">
        <f t="shared" si="10"/>
        <v>2197.6909969320004</v>
      </c>
      <c r="F48" s="68">
        <f t="shared" si="10"/>
        <v>1507.9081781879997</v>
      </c>
      <c r="G48" s="68">
        <f t="shared" si="10"/>
        <v>318.38032142933338</v>
      </c>
      <c r="H48" s="68">
        <f t="shared" si="10"/>
        <v>190.21444123733332</v>
      </c>
      <c r="I48" s="68">
        <f t="shared" si="10"/>
        <v>251.87745464000002</v>
      </c>
      <c r="J48" s="68">
        <f t="shared" si="10"/>
        <v>134.49050216000001</v>
      </c>
    </row>
    <row r="49" spans="1:27" ht="15.75" thickBot="1" x14ac:dyDescent="0.3">
      <c r="B49" s="13">
        <v>800</v>
      </c>
      <c r="C49" s="68">
        <f>(C41*3600000)/10^9</f>
        <v>3988.7897887199997</v>
      </c>
      <c r="D49" s="68">
        <f t="shared" ref="D49:J49" si="11">(D41*3600000)/10^9</f>
        <v>2815.867670879989</v>
      </c>
      <c r="E49" s="68">
        <f t="shared" si="11"/>
        <v>2023.5601398510005</v>
      </c>
      <c r="F49" s="68">
        <f t="shared" si="11"/>
        <v>1388.4312618089998</v>
      </c>
      <c r="G49" s="68">
        <f t="shared" si="11"/>
        <v>293.15391866133331</v>
      </c>
      <c r="H49" s="68">
        <f t="shared" si="11"/>
        <v>175.14307600533331</v>
      </c>
      <c r="I49" s="68">
        <f t="shared" si="11"/>
        <v>231.92031002000002</v>
      </c>
      <c r="J49" s="68">
        <f t="shared" si="11"/>
        <v>123.83434238000001</v>
      </c>
    </row>
    <row r="50" spans="1:27" ht="15.75" thickBot="1" x14ac:dyDescent="0.3">
      <c r="B50" s="13">
        <v>750</v>
      </c>
      <c r="C50" s="68">
        <f t="shared" ref="C50:I50" si="12">(C42*3600000)/10^9</f>
        <v>3556.06862688</v>
      </c>
      <c r="D50" s="68">
        <f t="shared" si="12"/>
        <v>2510.39017151999</v>
      </c>
      <c r="E50" s="68">
        <f t="shared" si="12"/>
        <v>1804.0355870040005</v>
      </c>
      <c r="F50" s="68">
        <f t="shared" si="12"/>
        <v>1237.8082356359998</v>
      </c>
      <c r="G50" s="68">
        <f t="shared" si="12"/>
        <v>261.35131411200001</v>
      </c>
      <c r="H50" s="68">
        <f t="shared" si="12"/>
        <v>156.14279788799999</v>
      </c>
      <c r="I50" s="68">
        <f t="shared" si="12"/>
        <v>206.76059208000004</v>
      </c>
      <c r="J50" s="68">
        <f>(J42*3600000)/10^9</f>
        <v>110.40025752</v>
      </c>
    </row>
    <row r="54" spans="1:27" ht="14.25" customHeight="1" x14ac:dyDescent="0.25">
      <c r="C54" s="113" t="s">
        <v>141</v>
      </c>
      <c r="D54" s="114"/>
      <c r="E54" s="114"/>
      <c r="F54" s="114"/>
      <c r="G54" s="114"/>
      <c r="H54" s="114"/>
      <c r="I54" s="114"/>
      <c r="Q54" s="113" t="s">
        <v>142</v>
      </c>
      <c r="R54" s="113"/>
      <c r="S54" s="113"/>
      <c r="T54" s="113"/>
      <c r="U54" s="113"/>
      <c r="V54" s="113"/>
      <c r="W54" s="113"/>
      <c r="X54" s="113"/>
      <c r="Y54" s="113"/>
    </row>
    <row r="55" spans="1:27" x14ac:dyDescent="0.25">
      <c r="C55" s="114"/>
      <c r="D55" s="114"/>
      <c r="E55" s="114"/>
      <c r="F55" s="114"/>
      <c r="G55" s="114"/>
      <c r="H55" s="114"/>
      <c r="I55" s="114"/>
      <c r="Q55" s="113"/>
      <c r="R55" s="113"/>
      <c r="S55" s="113"/>
      <c r="T55" s="113"/>
      <c r="U55" s="113"/>
      <c r="V55" s="113"/>
      <c r="W55" s="113"/>
      <c r="X55" s="113"/>
      <c r="Y55" s="113"/>
    </row>
    <row r="57" spans="1:27" ht="15.75" thickBot="1" x14ac:dyDescent="0.3">
      <c r="A57" s="110" t="s">
        <v>140</v>
      </c>
      <c r="B57" s="104"/>
      <c r="C57" s="55"/>
      <c r="D57" s="55"/>
      <c r="Q57" s="110" t="s">
        <v>140</v>
      </c>
      <c r="R57" s="104"/>
      <c r="S57" s="55"/>
      <c r="T57" s="55"/>
    </row>
    <row r="58" spans="1:27" ht="16.5" thickTop="1" thickBot="1" x14ac:dyDescent="0.3">
      <c r="A58" s="104"/>
      <c r="B58" s="104"/>
      <c r="C58" s="111" t="s">
        <v>45</v>
      </c>
      <c r="D58" s="112"/>
      <c r="E58" s="111" t="s">
        <v>46</v>
      </c>
      <c r="F58" s="112"/>
      <c r="G58" s="111" t="s">
        <v>47</v>
      </c>
      <c r="H58" s="112"/>
      <c r="I58" s="111" t="s">
        <v>48</v>
      </c>
      <c r="J58" s="112"/>
      <c r="Q58" s="104"/>
      <c r="R58" s="104"/>
      <c r="S58" s="111" t="s">
        <v>45</v>
      </c>
      <c r="T58" s="112"/>
      <c r="U58" s="111" t="s">
        <v>46</v>
      </c>
      <c r="V58" s="112"/>
      <c r="W58" s="111" t="s">
        <v>47</v>
      </c>
      <c r="X58" s="112"/>
      <c r="Y58" s="111" t="s">
        <v>48</v>
      </c>
      <c r="Z58" s="112"/>
    </row>
    <row r="59" spans="1:27" ht="16.5" thickTop="1" thickBot="1" x14ac:dyDescent="0.3">
      <c r="C59" s="14">
        <v>5</v>
      </c>
      <c r="D59" s="14">
        <v>10</v>
      </c>
      <c r="E59" s="14">
        <v>5</v>
      </c>
      <c r="F59" s="14">
        <v>10</v>
      </c>
      <c r="G59" s="14">
        <v>5</v>
      </c>
      <c r="H59" s="14">
        <v>10</v>
      </c>
      <c r="I59" s="14">
        <v>5</v>
      </c>
      <c r="J59" s="14">
        <v>10</v>
      </c>
      <c r="S59" s="14">
        <v>5</v>
      </c>
      <c r="T59" s="14">
        <v>10</v>
      </c>
      <c r="U59" s="14">
        <v>5</v>
      </c>
      <c r="V59" s="14">
        <v>10</v>
      </c>
      <c r="W59" s="14">
        <v>5</v>
      </c>
      <c r="X59" s="14">
        <v>10</v>
      </c>
      <c r="Y59" s="14">
        <v>5</v>
      </c>
      <c r="Z59" s="14">
        <v>10</v>
      </c>
    </row>
    <row r="60" spans="1:27" ht="15.75" thickBot="1" x14ac:dyDescent="0.3">
      <c r="B60" s="13">
        <v>900</v>
      </c>
      <c r="C60" s="68">
        <f>SUM(C47+M27+W43)</f>
        <v>11979.89386176</v>
      </c>
      <c r="D60" s="68">
        <f>SUM(D47+L27+W43)</f>
        <v>10494.949175039987</v>
      </c>
      <c r="E60" s="68">
        <f>SUM(E47+M28+W44)</f>
        <v>5338.4697604080002</v>
      </c>
      <c r="F60" s="68">
        <f>SUM(F47+L28+W44)</f>
        <v>4534.3829088719995</v>
      </c>
      <c r="G60" s="68">
        <f>SUM(G47+M29+W45)</f>
        <v>1240.6271807573335</v>
      </c>
      <c r="H60" s="68">
        <f>SUM(H47+L29+W45)</f>
        <v>1091.2229099093333</v>
      </c>
      <c r="I60" s="68">
        <f>SUM(I47+M30+W46)</f>
        <v>975.69611215999998</v>
      </c>
      <c r="J60" s="68">
        <f>SUM(J47+L30+W46)</f>
        <v>838.85694703999991</v>
      </c>
      <c r="R60" s="13">
        <v>900</v>
      </c>
      <c r="S60" s="68">
        <f>SUM(C47+$M$27)</f>
        <v>5049.8938617599988</v>
      </c>
      <c r="T60" s="68">
        <f>SUM(D47+$L$27)</f>
        <v>3564.9491750399861</v>
      </c>
      <c r="U60" s="68">
        <f>SUM(E47+$M$28)</f>
        <v>2561.870760408</v>
      </c>
      <c r="V60" s="68">
        <f>SUM(F47+$L$28)</f>
        <v>1757.7839088719995</v>
      </c>
      <c r="W60" s="68">
        <f>SUM(G47+$M$29)</f>
        <v>371.13918075733329</v>
      </c>
      <c r="X60" s="68">
        <f>SUM(H47+$L$29)</f>
        <v>221.73490990933328</v>
      </c>
      <c r="Y60" s="68">
        <f>SUM(I47+$M$30)</f>
        <v>293.61611216000006</v>
      </c>
      <c r="Z60" s="68">
        <f>SUM(J47+$L$30)</f>
        <v>156.77694704000001</v>
      </c>
      <c r="AA60" s="63"/>
    </row>
    <row r="61" spans="1:27" ht="15.75" thickBot="1" x14ac:dyDescent="0.3">
      <c r="B61" s="13">
        <v>850</v>
      </c>
      <c r="C61" s="68">
        <f>SUM(C48+M27+W43)</f>
        <v>11385.25406304</v>
      </c>
      <c r="D61" s="68">
        <f>SUM(D48+L27+W43)</f>
        <v>10075.165964159987</v>
      </c>
      <c r="E61" s="68">
        <f>SUM(E48+M28+W44)</f>
        <v>5036.801971932</v>
      </c>
      <c r="F61" s="68">
        <f>SUM(F48+L28+W44)</f>
        <v>4327.3987031879997</v>
      </c>
      <c r="G61" s="68">
        <f>SUM(G48+M29+W45)</f>
        <v>1196.9244547626668</v>
      </c>
      <c r="H61" s="68">
        <f>SUM(H48+L29+W45)</f>
        <v>1065.1129745706667</v>
      </c>
      <c r="I61" s="68">
        <f>SUM(I48+M30+W46)</f>
        <v>941.12195464000001</v>
      </c>
      <c r="J61" s="68">
        <f>SUM(J48+L30+W46)</f>
        <v>820.39600215999997</v>
      </c>
      <c r="R61" s="13">
        <v>850</v>
      </c>
      <c r="S61" s="68">
        <f>SUM(C48+$M$27)</f>
        <v>4455.254063039999</v>
      </c>
      <c r="T61" s="68">
        <f>SUM(D48+$L$27)</f>
        <v>3145.1659641599881</v>
      </c>
      <c r="U61" s="68">
        <f>SUM(E48+$M$28)</f>
        <v>2260.2029719320003</v>
      </c>
      <c r="V61" s="68">
        <f>SUM(F48+$L$28)</f>
        <v>1550.7997031879997</v>
      </c>
      <c r="W61" s="68">
        <f>SUM(G48+$M$29)</f>
        <v>327.4364547626667</v>
      </c>
      <c r="X61" s="68">
        <f>SUM(H48+$L$29)</f>
        <v>195.62497457066667</v>
      </c>
      <c r="Y61" s="68">
        <f>SUM(I48+$M$30)</f>
        <v>259.04195464000003</v>
      </c>
      <c r="Z61" s="68">
        <f>SUM(J48+$L$30)</f>
        <v>138.31600216000001</v>
      </c>
    </row>
    <row r="62" spans="1:27" ht="15.75" thickBot="1" x14ac:dyDescent="0.3">
      <c r="B62" s="13">
        <v>800</v>
      </c>
      <c r="C62" s="68">
        <f>SUM(C49+M27+W43)</f>
        <v>11042.011788719999</v>
      </c>
      <c r="D62" s="68">
        <f>SUM(D49+L27+W43)</f>
        <v>9832.8556708799879</v>
      </c>
      <c r="E62" s="68">
        <f>SUM(E49+M28+W44)</f>
        <v>4862.6711148510003</v>
      </c>
      <c r="F62" s="68">
        <f>SUM(F49+L28+W44)</f>
        <v>4207.921786809</v>
      </c>
      <c r="G62" s="68">
        <f>SUM(G49+M29+W45)</f>
        <v>1171.6980519946667</v>
      </c>
      <c r="H62" s="68">
        <f>SUM(H49+L29+W45)</f>
        <v>1050.0416093386666</v>
      </c>
      <c r="I62" s="68">
        <f>SUM(I49+M30+W46)</f>
        <v>921.16481002</v>
      </c>
      <c r="J62" s="68">
        <f>SUM(J49+L30+W46)</f>
        <v>809.73984237999991</v>
      </c>
      <c r="R62" s="13">
        <v>800</v>
      </c>
      <c r="S62" s="68">
        <f>SUM(C49+$M$27)</f>
        <v>4112.0117887199995</v>
      </c>
      <c r="T62" s="68">
        <f>SUM(D49+$L$27)</f>
        <v>2902.8556708799888</v>
      </c>
      <c r="U62" s="68">
        <f>SUM(E49+$M$28)</f>
        <v>2086.0721148510006</v>
      </c>
      <c r="V62" s="68">
        <f>SUM(F49+$L$28)</f>
        <v>1431.3227868089998</v>
      </c>
      <c r="W62" s="68">
        <f>SUM(G49+$M$29)</f>
        <v>302.21005199466663</v>
      </c>
      <c r="X62" s="68">
        <f>SUM(H49+$L$29)</f>
        <v>180.55360933866666</v>
      </c>
      <c r="Y62" s="68">
        <f>SUM(I49+$M$30)</f>
        <v>239.08481002000002</v>
      </c>
      <c r="Z62" s="68">
        <f>SUM(J49+$L$30)</f>
        <v>127.65984238000001</v>
      </c>
    </row>
    <row r="63" spans="1:27" ht="15.75" thickBot="1" x14ac:dyDescent="0.3">
      <c r="B63" s="13">
        <v>750</v>
      </c>
      <c r="C63" s="68">
        <f>SUM(C50+M27+W43)</f>
        <v>10609.29062688</v>
      </c>
      <c r="D63" s="68">
        <f>SUM(D50+L27+W43)</f>
        <v>9527.3781715199893</v>
      </c>
      <c r="E63" s="68">
        <f>SUM(E50+M28+W44)</f>
        <v>4643.1465620040008</v>
      </c>
      <c r="F63" s="68">
        <f>SUM(F50+L28+W44)</f>
        <v>4057.2987606360002</v>
      </c>
      <c r="G63" s="68">
        <f>SUM(G50+M29+W45)</f>
        <v>1139.8954474453335</v>
      </c>
      <c r="H63" s="68">
        <f>SUM(H50+L29+W45)</f>
        <v>1031.0413312213334</v>
      </c>
      <c r="I63" s="68">
        <f>SUM(I50+M30+W46)</f>
        <v>896.00509207999994</v>
      </c>
      <c r="J63" s="68">
        <f>SUM(J50+L30+W46)</f>
        <v>796.30575751999993</v>
      </c>
      <c r="R63" s="13">
        <v>750</v>
      </c>
      <c r="S63" s="68">
        <f>SUM(C50+$M$27)</f>
        <v>3679.2906268800002</v>
      </c>
      <c r="T63" s="68">
        <f>SUM(D50+$L$27)</f>
        <v>2597.3781715199898</v>
      </c>
      <c r="U63" s="68">
        <f>SUM(E50+$M$28)</f>
        <v>1866.5475620040006</v>
      </c>
      <c r="V63" s="68">
        <f>SUM(F50+$L$28)</f>
        <v>1280.6997606359998</v>
      </c>
      <c r="W63" s="68">
        <f>SUM(G50+$M$29)</f>
        <v>270.40744744533333</v>
      </c>
      <c r="X63" s="68">
        <f>SUM(H50+$L$29)</f>
        <v>161.55333122133334</v>
      </c>
      <c r="Y63" s="68">
        <f>SUM(I50+$M$30)</f>
        <v>213.92509208000004</v>
      </c>
      <c r="Z63" s="68">
        <f>SUM(J50+$L$30)</f>
        <v>114.22575752</v>
      </c>
      <c r="AA63" s="63"/>
    </row>
    <row r="68" ht="14.25" customHeight="1" x14ac:dyDescent="0.25"/>
    <row r="70" ht="14.65" customHeight="1" x14ac:dyDescent="0.25"/>
    <row r="71" ht="15" customHeight="1" x14ac:dyDescent="0.25"/>
    <row r="72" ht="15" customHeight="1" x14ac:dyDescent="0.25"/>
    <row r="79" ht="14.65" customHeight="1" x14ac:dyDescent="0.25"/>
    <row r="80" ht="15" customHeight="1" x14ac:dyDescent="0.25"/>
    <row r="81" ht="15" customHeight="1" x14ac:dyDescent="0.25"/>
    <row r="90" ht="14.25" customHeight="1" x14ac:dyDescent="0.25"/>
    <row r="92" ht="14.65" customHeight="1" x14ac:dyDescent="0.25"/>
    <row r="93" ht="15" customHeight="1" x14ac:dyDescent="0.25"/>
    <row r="94" ht="15" customHeight="1" x14ac:dyDescent="0.25"/>
  </sheetData>
  <mergeCells count="114">
    <mergeCell ref="W46:X46"/>
    <mergeCell ref="Y46:Z46"/>
    <mergeCell ref="Q57:R58"/>
    <mergeCell ref="S58:T58"/>
    <mergeCell ref="U58:V58"/>
    <mergeCell ref="W58:X58"/>
    <mergeCell ref="Y58:Z58"/>
    <mergeCell ref="Q54:Y55"/>
    <mergeCell ref="A57:B58"/>
    <mergeCell ref="C58:D58"/>
    <mergeCell ref="E58:F58"/>
    <mergeCell ref="G58:H58"/>
    <mergeCell ref="I58:J58"/>
    <mergeCell ref="C54:I55"/>
    <mergeCell ref="AA25:AB25"/>
    <mergeCell ref="L25:M25"/>
    <mergeCell ref="W43:X43"/>
    <mergeCell ref="Y43:Z43"/>
    <mergeCell ref="W44:X44"/>
    <mergeCell ref="Y44:Z44"/>
    <mergeCell ref="W45:X45"/>
    <mergeCell ref="Y45:Z45"/>
    <mergeCell ref="B33:H34"/>
    <mergeCell ref="C37:D37"/>
    <mergeCell ref="E37:F37"/>
    <mergeCell ref="G37:H37"/>
    <mergeCell ref="I37:J37"/>
    <mergeCell ref="A36:B37"/>
    <mergeCell ref="B26:D26"/>
    <mergeCell ref="B27:D27"/>
    <mergeCell ref="B28:D28"/>
    <mergeCell ref="C35:G35"/>
    <mergeCell ref="A44:B45"/>
    <mergeCell ref="C45:D45"/>
    <mergeCell ref="E45:F45"/>
    <mergeCell ref="G45:H45"/>
    <mergeCell ref="I45:J45"/>
    <mergeCell ref="W42:X42"/>
    <mergeCell ref="Y42:Z42"/>
    <mergeCell ref="W38:X38"/>
    <mergeCell ref="Y38:Z38"/>
    <mergeCell ref="W39:X39"/>
    <mergeCell ref="Y39:Z39"/>
    <mergeCell ref="W40:X40"/>
    <mergeCell ref="Y40:Z40"/>
    <mergeCell ref="V34:W34"/>
    <mergeCell ref="W36:X36"/>
    <mergeCell ref="Y36:Z36"/>
    <mergeCell ref="W37:X37"/>
    <mergeCell ref="Y37:Z37"/>
    <mergeCell ref="B22:D22"/>
    <mergeCell ref="B23:D23"/>
    <mergeCell ref="V4:W4"/>
    <mergeCell ref="V13:W13"/>
    <mergeCell ref="V23:W23"/>
    <mergeCell ref="W25:X25"/>
    <mergeCell ref="W9:X9"/>
    <mergeCell ref="W12:X12"/>
    <mergeCell ref="Y12:Z12"/>
    <mergeCell ref="W7:X7"/>
    <mergeCell ref="Y7:Z7"/>
    <mergeCell ref="B21:D21"/>
    <mergeCell ref="W10:X10"/>
    <mergeCell ref="Y10:Z10"/>
    <mergeCell ref="Y8:Z8"/>
    <mergeCell ref="W8:X8"/>
    <mergeCell ref="Y9:Z9"/>
    <mergeCell ref="W15:X15"/>
    <mergeCell ref="L13:M13"/>
    <mergeCell ref="P1:T2"/>
    <mergeCell ref="V1:Z2"/>
    <mergeCell ref="AG5:AH5"/>
    <mergeCell ref="AG12:AH12"/>
    <mergeCell ref="AG10:AH10"/>
    <mergeCell ref="AG6:AH6"/>
    <mergeCell ref="AI9:AJ9"/>
    <mergeCell ref="AI5:AJ5"/>
    <mergeCell ref="AG9:AH9"/>
    <mergeCell ref="Y6:Z6"/>
    <mergeCell ref="AI12:AJ12"/>
    <mergeCell ref="AI11:AJ11"/>
    <mergeCell ref="AI10:AJ10"/>
    <mergeCell ref="AG11:AH11"/>
    <mergeCell ref="AA6:AD6"/>
    <mergeCell ref="AA15:AB15"/>
    <mergeCell ref="K21:L21"/>
    <mergeCell ref="K23:L23"/>
    <mergeCell ref="AI7:AJ7"/>
    <mergeCell ref="AI6:AJ6"/>
    <mergeCell ref="AG7:AH7"/>
    <mergeCell ref="AI8:AJ8"/>
    <mergeCell ref="AG8:AH8"/>
    <mergeCell ref="W6:X6"/>
    <mergeCell ref="AI15:AJ15"/>
    <mergeCell ref="AI14:AJ14"/>
    <mergeCell ref="AG14:AH14"/>
    <mergeCell ref="AI13:AJ13"/>
    <mergeCell ref="AG13:AH13"/>
    <mergeCell ref="AG15:AH15"/>
    <mergeCell ref="B1:H2"/>
    <mergeCell ref="L5:M5"/>
    <mergeCell ref="B13:D13"/>
    <mergeCell ref="B14:D14"/>
    <mergeCell ref="B15:D15"/>
    <mergeCell ref="B17:D17"/>
    <mergeCell ref="B18:D18"/>
    <mergeCell ref="B19:D19"/>
    <mergeCell ref="B5:D5"/>
    <mergeCell ref="B6:D6"/>
    <mergeCell ref="B7:D7"/>
    <mergeCell ref="B9:D9"/>
    <mergeCell ref="B10:D10"/>
    <mergeCell ref="B11:D11"/>
    <mergeCell ref="J1:N2"/>
  </mergeCells>
  <hyperlinks>
    <hyperlink ref="AA6" r:id="rId1" location="bean%20straw" display="https://phyllis.nl/Browse/Standard/ECN-Phyllis - bean%20straw" xr:uid="{DCB05B01-31D9-43E4-98EC-1DF4BB97859E}"/>
    <hyperlink ref="AK12" r:id="rId2" display="https://www.sciencedirect.com/science/article/pii/S0956053X20302543" xr:uid="{DF9F885B-CBE5-4BF0-9A1A-1F16785255A9}"/>
    <hyperlink ref="AK7" r:id="rId3" display="https://www.sciencedirect.com/science/article/pii/S0360128513000415" xr:uid="{5238E9D3-C727-4B0A-9F85-209981CFFDE4}"/>
    <hyperlink ref="AK6" r:id="rId4" display="https://www.sciencedirect.com/science/article/pii/S0956053X20302543" xr:uid="{0E08F8FE-8FBE-46E5-B3AA-5F15280E5F87}"/>
    <hyperlink ref="AK9" r:id="rId5" display="https://www.mdpi.com/2071-1050/15/2/1643" xr:uid="{D20A0C6A-4728-4720-899A-3F67740180F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Syngas Compositions</vt:lpstr>
      <vt:lpstr>Gas Volume </vt:lpstr>
      <vt:lpstr>Dry Feed Rate Tests</vt:lpstr>
      <vt:lpstr>Land and Crop Yield</vt:lpstr>
      <vt:lpstr>Energy Input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Allison</dc:creator>
  <cp:keywords/>
  <dc:description/>
  <cp:lastModifiedBy>VIJAYALAKSHMI, SHIVAPRASAD K.</cp:lastModifiedBy>
  <cp:revision/>
  <dcterms:created xsi:type="dcterms:W3CDTF">2023-12-13T15:32:58Z</dcterms:created>
  <dcterms:modified xsi:type="dcterms:W3CDTF">2025-02-11T14:46:37Z</dcterms:modified>
  <cp:category/>
  <cp:contentStatus/>
</cp:coreProperties>
</file>